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R TUNTI SAMURA\Downloads\WB Data Request - 2023\PRICING FORMULA - 2016 TO 2023\Pricing - 2022\"/>
    </mc:Choice>
  </mc:AlternateContent>
  <xr:revisionPtr revIDLastSave="0" documentId="8_{0C39C2B1-62AA-7E42-A6C9-455E4F659878}" xr6:coauthVersionLast="47" xr6:coauthVersionMax="47" xr10:uidLastSave="{00000000-0000-0000-0000-000000000000}"/>
  <bookViews>
    <workbookView xWindow="-108" yWindow="-108" windowWidth="23256" windowHeight="12456" firstSheet="17" activeTab="20" xr2:uid="{00000000-000D-0000-FFFF-FFFF00000000}"/>
  </bookViews>
  <sheets>
    <sheet name="JAN. 2022 " sheetId="2" r:id="rId1"/>
    <sheet name="1ST MAR. 2022" sheetId="4" r:id="rId2"/>
    <sheet name="16TH MAR. 2022" sheetId="3" r:id="rId3"/>
    <sheet name="9TH JUN. 22 " sheetId="5" r:id="rId4"/>
    <sheet name="30TH JUN. 2022" sheetId="9" r:id="rId5"/>
    <sheet name="18TH JUL. 2022 " sheetId="7" r:id="rId6"/>
    <sheet name="18TH JUL-COMM" sheetId="8" r:id="rId7"/>
    <sheet name="29TH JUL. 22" sheetId="10" r:id="rId8"/>
    <sheet name="10TH AUG. 22" sheetId="11" r:id="rId9"/>
    <sheet name="25TH AUG. 22 " sheetId="12" r:id="rId10"/>
    <sheet name="8TH SEP. 22" sheetId="13" r:id="rId11"/>
    <sheet name="6TH OCT. 2022" sheetId="14" r:id="rId12"/>
    <sheet name="6TH OCT. 2022 - (COM)" sheetId="15" r:id="rId13"/>
    <sheet name="19TH OCT. 2022 (RET)" sheetId="17" r:id="rId14"/>
    <sheet name="19TH OCT. 2022-COMM" sheetId="16" r:id="rId15"/>
    <sheet name="3RD NOV. 2022-RET" sheetId="18" r:id="rId16"/>
    <sheet name="3RD NOV. 2022-COMM" sheetId="19" r:id="rId17"/>
    <sheet name="16TH NOV. 2022-RET " sheetId="21" r:id="rId18"/>
    <sheet name="16TH NOV. 2022-COMM" sheetId="20" r:id="rId19"/>
    <sheet name="2ND DEC. 2022-RET" sheetId="23" r:id="rId20"/>
    <sheet name="2ND DEC. 2022-COMM" sheetId="22" r:id="rId21"/>
    <sheet name="Sheet1" sheetId="1" r:id="rId22"/>
  </sheets>
  <definedNames>
    <definedName name="_xlnm.Print_Area" localSheetId="8">'10TH AUG. 22'!$A$1:$F$33</definedName>
    <definedName name="_xlnm.Print_Area" localSheetId="2">'16TH MAR. 2022'!$A$1:$G$36</definedName>
    <definedName name="_xlnm.Print_Area" localSheetId="18">'16TH NOV. 2022-COMM'!$A$1:$F$48</definedName>
    <definedName name="_xlnm.Print_Area" localSheetId="17">'16TH NOV. 2022-RET '!$A$1:$F$48</definedName>
    <definedName name="_xlnm.Print_Area" localSheetId="5">'18TH JUL. 2022 '!$A$1:$F$34</definedName>
    <definedName name="_xlnm.Print_Area" localSheetId="6">'18TH JUL-COMM'!$A$1:$F$47</definedName>
    <definedName name="_xlnm.Print_Area" localSheetId="13">'19TH OCT. 2022 (RET)'!$A$1:$F$48</definedName>
    <definedName name="_xlnm.Print_Area" localSheetId="14">'19TH OCT. 2022-COMM'!$A$1:$F$48</definedName>
    <definedName name="_xlnm.Print_Area" localSheetId="1">'1ST MAR. 2022'!$A$1:$G$47</definedName>
    <definedName name="_xlnm.Print_Area" localSheetId="9">'25TH AUG. 22 '!$A$1:$F$33</definedName>
    <definedName name="_xlnm.Print_Area" localSheetId="7">'29TH JUL. 22'!$A$1:$F$33</definedName>
    <definedName name="_xlnm.Print_Area" localSheetId="20">'2ND DEC. 2022-COMM'!$A$1:$F$48</definedName>
    <definedName name="_xlnm.Print_Area" localSheetId="19">'2ND DEC. 2022-RET'!$A$1:$F$48</definedName>
    <definedName name="_xlnm.Print_Area" localSheetId="4">'30TH JUN. 2022'!$A$1:$G$33</definedName>
    <definedName name="_xlnm.Print_Area" localSheetId="16">'3RD NOV. 2022-COMM'!$A$1:$F$48</definedName>
    <definedName name="_xlnm.Print_Area" localSheetId="15">'3RD NOV. 2022-RET'!$A$1:$F$48</definedName>
    <definedName name="_xlnm.Print_Area" localSheetId="11">'6TH OCT. 2022'!$A$1:$F$47</definedName>
    <definedName name="_xlnm.Print_Area" localSheetId="12">'6TH OCT. 2022 - (COM)'!$A$1:$F$47</definedName>
    <definedName name="_xlnm.Print_Area" localSheetId="10">'8TH SEP. 22'!$A$1:$F$33</definedName>
    <definedName name="_xlnm.Print_Area" localSheetId="3">'9TH JUN. 22 '!$A$1:$F$34</definedName>
    <definedName name="_xlnm.Print_Area" localSheetId="0">'JAN. 2022 '!$A$1:$F$44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3" l="1"/>
  <c r="F24" i="23"/>
  <c r="E24" i="23"/>
  <c r="C24" i="23"/>
  <c r="F15" i="23"/>
  <c r="E15" i="23"/>
  <c r="D15" i="23"/>
  <c r="C15" i="23"/>
  <c r="F8" i="23"/>
  <c r="F9" i="23"/>
  <c r="D8" i="23"/>
  <c r="D9" i="23"/>
  <c r="D16" i="23"/>
  <c r="D18" i="23"/>
  <c r="D20" i="23"/>
  <c r="C8" i="23"/>
  <c r="E7" i="23"/>
  <c r="E8" i="23"/>
  <c r="F15" i="22"/>
  <c r="E15" i="22"/>
  <c r="D15" i="22"/>
  <c r="C15" i="22"/>
  <c r="F8" i="22"/>
  <c r="E8" i="22"/>
  <c r="D8" i="22"/>
  <c r="C8" i="22"/>
  <c r="E7" i="22"/>
  <c r="E9" i="23"/>
  <c r="E16" i="23"/>
  <c r="E18" i="23"/>
  <c r="E20" i="23"/>
  <c r="F16" i="23"/>
  <c r="F18" i="23"/>
  <c r="F20" i="23"/>
  <c r="C9" i="23"/>
  <c r="C16" i="23"/>
  <c r="C18" i="23"/>
  <c r="C20" i="23"/>
  <c r="C9" i="22"/>
  <c r="C16" i="22"/>
  <c r="C18" i="22"/>
  <c r="C20" i="22"/>
  <c r="C29" i="22"/>
  <c r="D9" i="22"/>
  <c r="D16" i="22"/>
  <c r="D18" i="22"/>
  <c r="D20" i="22"/>
  <c r="D29" i="22"/>
  <c r="E9" i="22"/>
  <c r="E16" i="22"/>
  <c r="E18" i="22"/>
  <c r="E20" i="22"/>
  <c r="E29" i="22"/>
  <c r="F9" i="22"/>
  <c r="F16" i="22"/>
  <c r="F18" i="22"/>
  <c r="F20" i="22"/>
  <c r="F29" i="22"/>
  <c r="C24" i="21"/>
  <c r="E24" i="21"/>
  <c r="F24" i="21"/>
  <c r="C25" i="21"/>
  <c r="F15" i="21"/>
  <c r="E15" i="21"/>
  <c r="D15" i="21"/>
  <c r="C15" i="21"/>
  <c r="F8" i="21"/>
  <c r="F9" i="21"/>
  <c r="F16" i="21"/>
  <c r="F18" i="21"/>
  <c r="F20" i="21"/>
  <c r="D8" i="21"/>
  <c r="D9" i="21"/>
  <c r="D16" i="21"/>
  <c r="D18" i="21"/>
  <c r="D20" i="21"/>
  <c r="C8" i="21"/>
  <c r="C9" i="21"/>
  <c r="C16" i="21"/>
  <c r="C18" i="21"/>
  <c r="C20" i="21"/>
  <c r="E7" i="21"/>
  <c r="E8" i="21"/>
  <c r="F15" i="20"/>
  <c r="E15" i="20"/>
  <c r="D15" i="20"/>
  <c r="C15" i="20"/>
  <c r="F8" i="20"/>
  <c r="E8" i="20"/>
  <c r="E9" i="20"/>
  <c r="D8" i="20"/>
  <c r="C8" i="20"/>
  <c r="E7" i="20"/>
  <c r="F24" i="18"/>
  <c r="H23" i="18"/>
  <c r="C25" i="18"/>
  <c r="F15" i="19"/>
  <c r="E15" i="19"/>
  <c r="D15" i="19"/>
  <c r="C15" i="19"/>
  <c r="F8" i="19"/>
  <c r="D8" i="19"/>
  <c r="C8" i="19"/>
  <c r="E7" i="19"/>
  <c r="E8" i="19"/>
  <c r="F15" i="18"/>
  <c r="E15" i="18"/>
  <c r="D15" i="18"/>
  <c r="C15" i="18"/>
  <c r="F8" i="18"/>
  <c r="E8" i="18"/>
  <c r="D8" i="18"/>
  <c r="C8" i="18"/>
  <c r="C9" i="18"/>
  <c r="E7" i="18"/>
  <c r="F29" i="21"/>
  <c r="E16" i="21"/>
  <c r="E18" i="21"/>
  <c r="E20" i="21"/>
  <c r="E29" i="21"/>
  <c r="E9" i="21"/>
  <c r="D16" i="20"/>
  <c r="D18" i="20"/>
  <c r="D20" i="20"/>
  <c r="D29" i="20"/>
  <c r="F16" i="20"/>
  <c r="F18" i="20"/>
  <c r="F20" i="20"/>
  <c r="F29" i="20"/>
  <c r="C9" i="20"/>
  <c r="C16" i="20"/>
  <c r="C18" i="20"/>
  <c r="C20" i="20"/>
  <c r="C29" i="20"/>
  <c r="D9" i="20"/>
  <c r="E16" i="20"/>
  <c r="E18" i="20"/>
  <c r="E20" i="20"/>
  <c r="E29" i="20"/>
  <c r="F9" i="20"/>
  <c r="C9" i="19"/>
  <c r="C16" i="19"/>
  <c r="C18" i="19"/>
  <c r="C20" i="19"/>
  <c r="C29" i="19"/>
  <c r="E9" i="19"/>
  <c r="E16" i="19"/>
  <c r="E18" i="19"/>
  <c r="E20" i="19"/>
  <c r="E29" i="19"/>
  <c r="D9" i="19"/>
  <c r="D16" i="19"/>
  <c r="D18" i="19"/>
  <c r="D20" i="19"/>
  <c r="D29" i="19"/>
  <c r="F9" i="19"/>
  <c r="F16" i="19"/>
  <c r="F18" i="19"/>
  <c r="F20" i="19"/>
  <c r="F29" i="19"/>
  <c r="C16" i="18"/>
  <c r="C18" i="18"/>
  <c r="C20" i="18"/>
  <c r="D9" i="18"/>
  <c r="D16" i="18"/>
  <c r="D18" i="18"/>
  <c r="D20" i="18"/>
  <c r="E9" i="18"/>
  <c r="E16" i="18"/>
  <c r="E18" i="18"/>
  <c r="E20" i="18"/>
  <c r="E29" i="18"/>
  <c r="F9" i="18"/>
  <c r="F16" i="18"/>
  <c r="F18" i="18"/>
  <c r="F20" i="18"/>
  <c r="F29" i="18"/>
  <c r="C25" i="17"/>
  <c r="F15" i="17"/>
  <c r="E15" i="17"/>
  <c r="D15" i="17"/>
  <c r="C15" i="17"/>
  <c r="F9" i="17"/>
  <c r="F16" i="17"/>
  <c r="F18" i="17"/>
  <c r="F20" i="17"/>
  <c r="F29" i="17"/>
  <c r="F8" i="17"/>
  <c r="D8" i="17"/>
  <c r="C8" i="17"/>
  <c r="E7" i="17"/>
  <c r="E8" i="17"/>
  <c r="F15" i="16"/>
  <c r="E15" i="16"/>
  <c r="D15" i="16"/>
  <c r="C15" i="16"/>
  <c r="F8" i="16"/>
  <c r="D8" i="16"/>
  <c r="C8" i="16"/>
  <c r="E7" i="16"/>
  <c r="E8" i="16"/>
  <c r="E9" i="17"/>
  <c r="E16" i="17"/>
  <c r="E18" i="17"/>
  <c r="E20" i="17"/>
  <c r="E29" i="17"/>
  <c r="C9" i="17"/>
  <c r="C16" i="17"/>
  <c r="C18" i="17"/>
  <c r="C20" i="17"/>
  <c r="C29" i="17"/>
  <c r="D9" i="17"/>
  <c r="D16" i="17"/>
  <c r="D18" i="17"/>
  <c r="D20" i="17"/>
  <c r="D29" i="17"/>
  <c r="E9" i="16"/>
  <c r="E16" i="16"/>
  <c r="E18" i="16"/>
  <c r="E20" i="16"/>
  <c r="E29" i="16"/>
  <c r="F9" i="16"/>
  <c r="F16" i="16"/>
  <c r="F18" i="16"/>
  <c r="F20" i="16"/>
  <c r="F29" i="16"/>
  <c r="C9" i="16"/>
  <c r="C16" i="16"/>
  <c r="C18" i="16"/>
  <c r="C20" i="16"/>
  <c r="C29" i="16"/>
  <c r="D9" i="16"/>
  <c r="D16" i="16"/>
  <c r="D18" i="16"/>
  <c r="D20" i="16"/>
  <c r="D29" i="16"/>
  <c r="E28" i="15"/>
  <c r="D28" i="15"/>
  <c r="E26" i="15"/>
  <c r="D26" i="15"/>
  <c r="C26" i="15"/>
  <c r="D25" i="15"/>
  <c r="C25" i="15"/>
  <c r="F24" i="15"/>
  <c r="E24" i="15"/>
  <c r="D24" i="15"/>
  <c r="E23" i="15"/>
  <c r="D23" i="15"/>
  <c r="C23" i="15"/>
  <c r="F22" i="15"/>
  <c r="E22" i="15"/>
  <c r="D22" i="15"/>
  <c r="C22" i="15"/>
  <c r="C21" i="15"/>
  <c r="F15" i="15"/>
  <c r="E15" i="15"/>
  <c r="D15" i="15"/>
  <c r="C15" i="15"/>
  <c r="C9" i="15"/>
  <c r="C16" i="15"/>
  <c r="C18" i="15"/>
  <c r="C20" i="15"/>
  <c r="F8" i="15"/>
  <c r="E8" i="15"/>
  <c r="D8" i="15"/>
  <c r="D9" i="15"/>
  <c r="D16" i="15"/>
  <c r="D18" i="15"/>
  <c r="D20" i="15"/>
  <c r="D29" i="15"/>
  <c r="C8" i="15"/>
  <c r="E7" i="15"/>
  <c r="E27" i="14"/>
  <c r="F24" i="14"/>
  <c r="E24" i="14"/>
  <c r="F22" i="14"/>
  <c r="D21" i="14"/>
  <c r="F15" i="14"/>
  <c r="E15" i="14"/>
  <c r="D15" i="14"/>
  <c r="C15" i="14"/>
  <c r="F9" i="14"/>
  <c r="F16" i="14"/>
  <c r="F18" i="14"/>
  <c r="F20" i="14"/>
  <c r="F29" i="14"/>
  <c r="F8" i="14"/>
  <c r="D8" i="14"/>
  <c r="C8" i="14"/>
  <c r="E7" i="14"/>
  <c r="E8" i="14"/>
  <c r="C29" i="15"/>
  <c r="E9" i="15"/>
  <c r="E16" i="15"/>
  <c r="E18" i="15"/>
  <c r="E20" i="15"/>
  <c r="E29" i="15"/>
  <c r="F9" i="15"/>
  <c r="F16" i="15"/>
  <c r="F18" i="15"/>
  <c r="F20" i="15"/>
  <c r="F29" i="15"/>
  <c r="E9" i="14"/>
  <c r="E16" i="14"/>
  <c r="E18" i="14"/>
  <c r="E20" i="14"/>
  <c r="E29" i="14"/>
  <c r="C9" i="14"/>
  <c r="C16" i="14"/>
  <c r="C18" i="14"/>
  <c r="C20" i="14"/>
  <c r="D9" i="14"/>
  <c r="D16" i="14"/>
  <c r="D18" i="14"/>
  <c r="D20" i="14"/>
  <c r="F10" i="13"/>
  <c r="F35" i="13"/>
  <c r="F9" i="13"/>
  <c r="F17" i="13"/>
  <c r="F19" i="13"/>
  <c r="F21" i="13"/>
  <c r="E9" i="13"/>
  <c r="E10" i="13"/>
  <c r="E35" i="13"/>
  <c r="D9" i="13"/>
  <c r="D10" i="13"/>
  <c r="D35" i="13"/>
  <c r="C9" i="13"/>
  <c r="C10" i="13"/>
  <c r="C35" i="13"/>
  <c r="F30" i="12"/>
  <c r="E30" i="12"/>
  <c r="F9" i="12"/>
  <c r="E9" i="12"/>
  <c r="D9" i="12"/>
  <c r="C9" i="12"/>
  <c r="D17" i="13"/>
  <c r="D19" i="13"/>
  <c r="D21" i="13"/>
  <c r="C17" i="13"/>
  <c r="C19" i="13"/>
  <c r="C21" i="13"/>
  <c r="E17" i="13"/>
  <c r="E19" i="13"/>
  <c r="E21" i="13"/>
  <c r="C10" i="12"/>
  <c r="C35" i="12"/>
  <c r="D10" i="12"/>
  <c r="D35" i="12"/>
  <c r="E10" i="12"/>
  <c r="E35" i="12"/>
  <c r="F10" i="12"/>
  <c r="F35" i="12"/>
  <c r="E35" i="11"/>
  <c r="F23" i="11"/>
  <c r="E23" i="11"/>
  <c r="E10" i="11"/>
  <c r="D10" i="11"/>
  <c r="D35" i="11"/>
  <c r="C10" i="11"/>
  <c r="C35" i="11"/>
  <c r="F9" i="11"/>
  <c r="E9" i="11"/>
  <c r="E17" i="11"/>
  <c r="E19" i="11"/>
  <c r="E21" i="11"/>
  <c r="E30" i="11"/>
  <c r="D9" i="11"/>
  <c r="D17" i="11"/>
  <c r="D19" i="11"/>
  <c r="D21" i="11"/>
  <c r="D30" i="11"/>
  <c r="C9" i="11"/>
  <c r="C17" i="11"/>
  <c r="C19" i="11"/>
  <c r="C21" i="11"/>
  <c r="C30" i="11"/>
  <c r="F35" i="10"/>
  <c r="E35" i="10"/>
  <c r="D35" i="10"/>
  <c r="C35" i="10"/>
  <c r="F17" i="12"/>
  <c r="F19" i="12"/>
  <c r="E17" i="12"/>
  <c r="E19" i="12"/>
  <c r="C17" i="12"/>
  <c r="C19" i="12"/>
  <c r="D17" i="12"/>
  <c r="D19" i="12"/>
  <c r="F10" i="11"/>
  <c r="F35" i="11"/>
  <c r="F17" i="11"/>
  <c r="F19" i="11"/>
  <c r="F21" i="11"/>
  <c r="F30" i="11"/>
  <c r="E28" i="8"/>
  <c r="D28" i="8"/>
  <c r="E26" i="8"/>
  <c r="D26" i="8"/>
  <c r="C26" i="8"/>
  <c r="D25" i="8"/>
  <c r="C25" i="8"/>
  <c r="F24" i="8"/>
  <c r="E24" i="8"/>
  <c r="D24" i="8"/>
  <c r="C24" i="8"/>
  <c r="E23" i="8"/>
  <c r="D23" i="8"/>
  <c r="C23" i="8"/>
  <c r="F22" i="8"/>
  <c r="E22" i="8"/>
  <c r="D22" i="8"/>
  <c r="C22" i="8"/>
  <c r="C21" i="8"/>
  <c r="F15" i="8"/>
  <c r="E15" i="8"/>
  <c r="D15" i="8"/>
  <c r="C15" i="8"/>
  <c r="F9" i="8"/>
  <c r="F16" i="8"/>
  <c r="F18" i="8"/>
  <c r="F20" i="8"/>
  <c r="F29" i="8"/>
  <c r="F8" i="8"/>
  <c r="D8" i="8"/>
  <c r="C8" i="8"/>
  <c r="E7" i="8"/>
  <c r="E8" i="8"/>
  <c r="F15" i="7"/>
  <c r="E15" i="7"/>
  <c r="D15" i="7"/>
  <c r="C15" i="7"/>
  <c r="F8" i="7"/>
  <c r="F9" i="7"/>
  <c r="F16" i="7"/>
  <c r="F18" i="7"/>
  <c r="F20" i="7"/>
  <c r="D8" i="7"/>
  <c r="D9" i="7"/>
  <c r="C8" i="7"/>
  <c r="E7" i="7"/>
  <c r="E8" i="7"/>
  <c r="E9" i="8"/>
  <c r="E16" i="8"/>
  <c r="E18" i="8"/>
  <c r="E20" i="8"/>
  <c r="E29" i="8"/>
  <c r="D16" i="8"/>
  <c r="D18" i="8"/>
  <c r="D20" i="8"/>
  <c r="D29" i="8"/>
  <c r="C9" i="8"/>
  <c r="C16" i="8"/>
  <c r="C18" i="8"/>
  <c r="C20" i="8"/>
  <c r="C29" i="8"/>
  <c r="D9" i="8"/>
  <c r="D16" i="7"/>
  <c r="D18" i="7"/>
  <c r="D20" i="7"/>
  <c r="E9" i="7"/>
  <c r="E16" i="7"/>
  <c r="E18" i="7"/>
  <c r="E20" i="7"/>
  <c r="C9" i="7"/>
  <c r="C16" i="7"/>
  <c r="C18" i="7"/>
  <c r="C20" i="7"/>
  <c r="E28" i="5"/>
  <c r="D28" i="5"/>
  <c r="C28" i="5"/>
  <c r="D26" i="5"/>
  <c r="C26" i="5"/>
  <c r="F25" i="5"/>
  <c r="E25" i="5"/>
  <c r="F23" i="5"/>
  <c r="E23" i="5"/>
  <c r="D23" i="5"/>
  <c r="F22" i="5"/>
  <c r="E22" i="5"/>
  <c r="D22" i="5"/>
  <c r="C22" i="5"/>
  <c r="F16" i="5"/>
  <c r="E16" i="5"/>
  <c r="D16" i="5"/>
  <c r="C16" i="5"/>
  <c r="C9" i="5"/>
  <c r="F8" i="5"/>
  <c r="F9" i="5"/>
  <c r="E8" i="5"/>
  <c r="E9" i="5"/>
  <c r="D8" i="5"/>
  <c r="D9" i="5"/>
  <c r="E10" i="5"/>
  <c r="E17" i="5"/>
  <c r="E19" i="5"/>
  <c r="E21" i="5"/>
  <c r="E30" i="5"/>
  <c r="F10" i="5"/>
  <c r="F17" i="5"/>
  <c r="F19" i="5"/>
  <c r="F21" i="5"/>
  <c r="F30" i="5"/>
  <c r="C10" i="5"/>
  <c r="C17" i="5"/>
  <c r="C19" i="5"/>
  <c r="C21" i="5"/>
  <c r="C30" i="5"/>
  <c r="D10" i="5"/>
  <c r="D17" i="5"/>
  <c r="D19" i="5"/>
  <c r="D21" i="5"/>
  <c r="D30" i="5"/>
  <c r="F24" i="4"/>
  <c r="E24" i="4"/>
  <c r="D24" i="4"/>
  <c r="C24" i="4"/>
  <c r="F21" i="4"/>
  <c r="E21" i="4"/>
  <c r="D21" i="4"/>
  <c r="C21" i="4"/>
  <c r="F15" i="4"/>
  <c r="E15" i="4"/>
  <c r="D15" i="4"/>
  <c r="C15" i="4"/>
  <c r="F12" i="4"/>
  <c r="E12" i="4"/>
  <c r="C12" i="4"/>
  <c r="D8" i="4"/>
  <c r="D9" i="4"/>
  <c r="C8" i="4"/>
  <c r="C9" i="4"/>
  <c r="C16" i="4"/>
  <c r="C18" i="4"/>
  <c r="C20" i="4"/>
  <c r="C29" i="4"/>
  <c r="F7" i="4"/>
  <c r="F8" i="4"/>
  <c r="E7" i="4"/>
  <c r="E8" i="4"/>
  <c r="D7" i="4"/>
  <c r="E9" i="4"/>
  <c r="E16" i="4"/>
  <c r="E18" i="4"/>
  <c r="E20" i="4"/>
  <c r="E29" i="4"/>
  <c r="F9" i="4"/>
  <c r="F16" i="4"/>
  <c r="F18" i="4"/>
  <c r="F20" i="4"/>
  <c r="F29" i="4"/>
  <c r="D16" i="4"/>
  <c r="D18" i="4"/>
  <c r="D20" i="4"/>
  <c r="D29" i="4"/>
  <c r="F24" i="3"/>
  <c r="C24" i="3"/>
  <c r="F21" i="3"/>
  <c r="E21" i="3"/>
  <c r="D21" i="3"/>
  <c r="C21" i="3"/>
  <c r="F15" i="3"/>
  <c r="E15" i="3"/>
  <c r="D15" i="3"/>
  <c r="C15" i="3"/>
  <c r="C9" i="3"/>
  <c r="C16" i="3"/>
  <c r="C18" i="3"/>
  <c r="C20" i="3"/>
  <c r="C29" i="3"/>
  <c r="C8" i="3"/>
  <c r="F7" i="3"/>
  <c r="F8" i="3"/>
  <c r="E7" i="3"/>
  <c r="E8" i="3"/>
  <c r="D7" i="3"/>
  <c r="D8" i="3"/>
  <c r="D9" i="3"/>
  <c r="D16" i="3"/>
  <c r="D18" i="3"/>
  <c r="D20" i="3"/>
  <c r="D29" i="3"/>
  <c r="E9" i="3"/>
  <c r="E16" i="3"/>
  <c r="E18" i="3"/>
  <c r="E20" i="3"/>
  <c r="E29" i="3"/>
  <c r="F9" i="3"/>
  <c r="F16" i="3"/>
  <c r="F18" i="3"/>
  <c r="F20" i="3"/>
  <c r="F29" i="3"/>
  <c r="F21" i="2"/>
  <c r="E21" i="2"/>
  <c r="D21" i="2"/>
  <c r="C21" i="2"/>
  <c r="F15" i="2"/>
  <c r="E15" i="2"/>
  <c r="D15" i="2"/>
  <c r="C15" i="2"/>
  <c r="F8" i="2"/>
  <c r="E8" i="2"/>
  <c r="D8" i="2"/>
  <c r="C8" i="2"/>
  <c r="F7" i="2"/>
  <c r="E7" i="2"/>
  <c r="D7" i="2"/>
  <c r="C9" i="2"/>
  <c r="C16" i="2"/>
  <c r="C18" i="2"/>
  <c r="C20" i="2"/>
  <c r="C29" i="2"/>
  <c r="D9" i="2"/>
  <c r="D16" i="2"/>
  <c r="D18" i="2"/>
  <c r="D20" i="2"/>
  <c r="D29" i="2"/>
  <c r="E9" i="2"/>
  <c r="E16" i="2"/>
  <c r="E18" i="2"/>
  <c r="E20" i="2"/>
  <c r="E29" i="2"/>
  <c r="F9" i="2"/>
  <c r="F16" i="2"/>
  <c r="F18" i="2"/>
  <c r="F20" i="2"/>
  <c r="F29" i="2"/>
</calcChain>
</file>

<file path=xl/sharedStrings.xml><?xml version="1.0" encoding="utf-8"?>
<sst xmlns="http://schemas.openxmlformats.org/spreadsheetml/2006/main" count="878" uniqueCount="82">
  <si>
    <t>"SINGLE" FUEL PRICING FORMULA - EFFECTIVE 1ST JANUARY, 2022</t>
  </si>
  <si>
    <t>No.</t>
  </si>
  <si>
    <t>COMPONENTS</t>
  </si>
  <si>
    <t>PETROL</t>
  </si>
  <si>
    <t>DIESEL</t>
  </si>
  <si>
    <t>KEROSENE</t>
  </si>
  <si>
    <t>FUEL OIL</t>
  </si>
  <si>
    <t>Average Platts Prices (01 - 31/12/2021) Fob/USD per MT</t>
  </si>
  <si>
    <t>Freight /USD per Metric Ton</t>
  </si>
  <si>
    <t>C&amp;F (Freetown) / USD per M T</t>
  </si>
  <si>
    <t xml:space="preserve">Import Duty 5% C&amp;F </t>
  </si>
  <si>
    <t>Storage (USD Per MT)</t>
  </si>
  <si>
    <t>Port Charges (USD per MT)</t>
  </si>
  <si>
    <t>Petrojetty Charges (USD per MT)</t>
  </si>
  <si>
    <t>Demmurage (USD per MT)</t>
  </si>
  <si>
    <t>Freight Levy (USD per MT)</t>
  </si>
  <si>
    <t>Other Charges (transfer &amp; Agency Fees, etc) - USD per MT)</t>
  </si>
  <si>
    <t>Landed Cost USD/Metric Ton</t>
  </si>
  <si>
    <t>Conversion LITRE/MT</t>
  </si>
  <si>
    <t>Landed Cost USD /LITRE</t>
  </si>
  <si>
    <t xml:space="preserve">Exchange Rate Adjustment Le/USD </t>
  </si>
  <si>
    <t>Landed Cost Le/LITRE</t>
  </si>
  <si>
    <t>Distribution Cost  Le/Litres</t>
  </si>
  <si>
    <t>Stabilization Fund  Le/Litres</t>
  </si>
  <si>
    <t>Petroleum Fund  Le/Litres</t>
  </si>
  <si>
    <t>Excise Duty   Le/Litres</t>
  </si>
  <si>
    <t>Road User Charge Le/Litres</t>
  </si>
  <si>
    <t>Uniform Price Adjustment Factor</t>
  </si>
  <si>
    <t>Infrastructure Development Fund (IDF) Provisions (Le/Litre)</t>
  </si>
  <si>
    <t>SUBSIDY PROVISIONS (Le/Litre)</t>
  </si>
  <si>
    <t>FULL PASS THROUGH PUMP PRICE  Le/Litre</t>
  </si>
  <si>
    <t>................................................................</t>
  </si>
  <si>
    <t>Chief Executive Officer, NP (SL) Limited</t>
  </si>
  <si>
    <t>Executive Chairman, Petroleum Regulatory Agency</t>
  </si>
  <si>
    <t>Managing Director, Conex (SL) Limited</t>
  </si>
  <si>
    <t>Senior Permanent Secretary, Ministry of Trade &amp; Industry</t>
  </si>
  <si>
    <t>…..........................................................................</t>
  </si>
  <si>
    <t>Managing Director, Leonoil Company Limited</t>
  </si>
  <si>
    <t>Financial Secretary, Ministry of Finance</t>
  </si>
  <si>
    <r>
      <t>Petroleum Regulatory Agency 1</t>
    </r>
    <r>
      <rPr>
        <vertAlign val="superscript"/>
        <sz val="10.5"/>
        <color rgb="FF0070C0"/>
        <rFont val="Calibri"/>
        <family val="2"/>
        <scheme val="minor"/>
      </rPr>
      <t>st</t>
    </r>
    <r>
      <rPr>
        <sz val="10.5"/>
        <color rgb="FF0070C0"/>
        <rFont val="Calibri"/>
        <family val="2"/>
        <scheme val="minor"/>
      </rPr>
      <t xml:space="preserve"> &amp; 2</t>
    </r>
    <r>
      <rPr>
        <vertAlign val="superscript"/>
        <sz val="10.5"/>
        <color rgb="FF0070C0"/>
        <rFont val="Calibri"/>
        <family val="2"/>
        <scheme val="minor"/>
      </rPr>
      <t>nd</t>
    </r>
    <r>
      <rPr>
        <sz val="10.5"/>
        <color rgb="FF0070C0"/>
        <rFont val="Calibri"/>
        <family val="2"/>
        <scheme val="minor"/>
      </rPr>
      <t xml:space="preserve"> Floor British Council Building Tower Hill, Sierra Leone</t>
    </r>
  </si>
  <si>
    <t>Tel: +232 25208409 Email: info@prasl.org  www.prasl.org</t>
  </si>
  <si>
    <t>"SINGLE" FUEL PRICING FORMULA - EFFECTIVE 16TH MARCH, 2022</t>
  </si>
  <si>
    <t>Average Platts Prices (01 - 15/03/22) Fob/USD per MT</t>
  </si>
  <si>
    <t>"SINGLE" FUEL PRICING FORMULA - EFFECTIVE 1ST MARCH, 2022</t>
  </si>
  <si>
    <t>Average Platts Prices (01 - 28/02/22) Fob/USD per MT</t>
  </si>
  <si>
    <t>"SINGLE" PRICING FORMULA - EFFECTIVE 9TH JUNE. 2022</t>
  </si>
  <si>
    <t>Average Platts Prices (03 - 31/05/22) Fob/USD per MT</t>
  </si>
  <si>
    <t>FULL PASS THROUGH PUMP PRICE  Le/Litre (Maximum)</t>
  </si>
  <si>
    <r>
      <t>Petroleum Regulatory Agency 1</t>
    </r>
    <r>
      <rPr>
        <vertAlign val="superscript"/>
        <sz val="10.5"/>
        <color theme="3" tint="0.39997558519241921"/>
        <rFont val="Calibri"/>
        <family val="2"/>
        <scheme val="minor"/>
      </rPr>
      <t>st</t>
    </r>
    <r>
      <rPr>
        <sz val="10.5"/>
        <color theme="3" tint="0.39997558519241921"/>
        <rFont val="Calibri"/>
        <family val="2"/>
        <scheme val="minor"/>
      </rPr>
      <t xml:space="preserve"> &amp; 2</t>
    </r>
    <r>
      <rPr>
        <vertAlign val="superscript"/>
        <sz val="10.5"/>
        <color theme="3" tint="0.39997558519241921"/>
        <rFont val="Calibri"/>
        <family val="2"/>
        <scheme val="minor"/>
      </rPr>
      <t>nd</t>
    </r>
    <r>
      <rPr>
        <sz val="10.5"/>
        <color theme="3" tint="0.39997558519241921"/>
        <rFont val="Calibri"/>
        <family val="2"/>
        <scheme val="minor"/>
      </rPr>
      <t xml:space="preserve"> Floor British Council Building Tower Hill, Sierra Leone</t>
    </r>
  </si>
  <si>
    <t>"RETAIL" FUEL PRICING FORMULA - EFFECTIVE 18TH JULY, 2022</t>
  </si>
  <si>
    <t>Average Platts Prices (01 - 15/07/22) Fob/USD per MT</t>
  </si>
  <si>
    <t>CURRENT PUMP PRICES Le/Litre</t>
  </si>
  <si>
    <t>Having all agreed to the new pump prices, we are committed to make available said petroleum products in all retail outlets nation wide</t>
  </si>
  <si>
    <t>Managing Director, All Petroleum Products (SL) Limited</t>
  </si>
  <si>
    <t>"COMMERCIAL PRICING FORMULA - EFFECTIVE 18TH JULY, 2022</t>
  </si>
  <si>
    <t>FULL PASS THROUGH PRICES Le/Litre</t>
  </si>
  <si>
    <t>For Commercial Uplifters Full Pass Through Prices apply</t>
  </si>
  <si>
    <t xml:space="preserve"> "RETIAL" PRICING FORMULA - EFFECTIVE 30TH JUNE. 2022 </t>
  </si>
  <si>
    <t>Average Platts Prices (01 - 30/06/22) Fob/USD per MT</t>
  </si>
  <si>
    <t>"RETAIL" PRICING FORMULA - EFFECTIVE 29TH JULY. 2022</t>
  </si>
  <si>
    <t>Average Platts Prices (18 - 28/07/22) Fob/USD per MT</t>
  </si>
  <si>
    <t>"RETAIL" PRICING FORMULA - EFFECTIVE 10TH AUGUST. 2022</t>
  </si>
  <si>
    <t>Average Platts Prices (01 - 10/08/22) Fob/USD per MT</t>
  </si>
  <si>
    <t>Exchange Rate Adjustment Le/USD</t>
  </si>
  <si>
    <t>"RETAIL" PRICING FORMULA - EFFECTIVE 25TH AUGUST. 2022</t>
  </si>
  <si>
    <t>Average Platts Prices (11 - 24/08/22) Fob/USD per MT</t>
  </si>
  <si>
    <t>"RETAIL" PRICING FORMULA - EFFECTIVE 8TH SEPTEMBER. 2022</t>
  </si>
  <si>
    <t>Average Platts Prices (25/08 - 07/09/22) Fob/USD per MT</t>
  </si>
  <si>
    <t xml:space="preserve"> "RETAIL" FUEL PRICING FORMULA - EFFECTIVE 6TH OCTOBER, 2022</t>
  </si>
  <si>
    <t>Average Platts Prices (22/09 - 05/10/22) Fob/USD per MT</t>
  </si>
  <si>
    <t xml:space="preserve"> "COMMERCIAL PRICING FORMULA: EFFECTIVE 6TH OCTOBER, 2022</t>
  </si>
  <si>
    <t xml:space="preserve"> "RETAIL" FUEL PRICING FORMULA - EFFECTIVE 19TH OCTOBER, 2022</t>
  </si>
  <si>
    <t>Average Platts Prices (06 - 18/10/22) Fob/USD per MT</t>
  </si>
  <si>
    <t>Average Platts Prices (19/10 - 02/11/22) Fob/USD per MT</t>
  </si>
  <si>
    <t xml:space="preserve"> "COMMERCIAL" FUEL PRICING FORMULA - EFFECTIVE 3RD NOVEMBER, 2022</t>
  </si>
  <si>
    <t xml:space="preserve"> "RETAIL" FUEL PRICING FORMULA - EFFECTIVE 3RD NOVEMBER, 2022</t>
  </si>
  <si>
    <t xml:space="preserve"> "RETAIL" FUEL PRICING FORMULA - EFFECTIVE 16TH NOVEMBER, 2022</t>
  </si>
  <si>
    <t>Average Platts Prices (03 - 15/11/22) Fob/USD per MT</t>
  </si>
  <si>
    <t xml:space="preserve"> "RETAIL" FUEL PRICING FORMULA - EFFECTIVE 2ND DECEMBER, 2022</t>
  </si>
  <si>
    <t>Average Platts Prices (16/11 - 01/12/22) Fob/USD per MT</t>
  </si>
  <si>
    <t xml:space="preserve"> "COMMERCIAL" FUEL PRICING FORMULA - EFFECTIVE 2ND DECEMBER, 2022</t>
  </si>
  <si>
    <t xml:space="preserve"> "COMMERCIAL" FUEL PRICING FORMULA - EFFECTIVE 16TH NOVEMBER,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</si>
</sst>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2"/>
      <color rgb="FF0070C0"/>
      <name val="Arial"/>
      <family val="2"/>
    </font>
    <font>
      <b/>
      <sz val="10"/>
      <color rgb="FF002060"/>
      <name val="Arial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i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70C0"/>
      <name val="Arial"/>
      <family val="2"/>
    </font>
    <font>
      <b/>
      <u/>
      <sz val="10"/>
      <color rgb="FF002060"/>
      <name val="Arial"/>
      <family val="2"/>
    </font>
    <font>
      <b/>
      <sz val="13"/>
      <color rgb="FF002060"/>
      <name val="Arial"/>
      <family val="2"/>
    </font>
    <font>
      <sz val="12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2"/>
      <color rgb="FF0070C0"/>
      <name val="Times New Roman"/>
      <family val="1"/>
    </font>
    <font>
      <sz val="10.5"/>
      <color rgb="FF0070C0"/>
      <name val="Calibri"/>
      <family val="2"/>
      <scheme val="minor"/>
    </font>
    <font>
      <vertAlign val="superscript"/>
      <sz val="10.5"/>
      <color rgb="FF0070C0"/>
      <name val="Calibri"/>
      <family val="2"/>
      <scheme val="minor"/>
    </font>
    <font>
      <sz val="12"/>
      <color rgb="FF00206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2060"/>
      <name val="Arial"/>
      <family val="2"/>
    </font>
    <font>
      <sz val="10.5"/>
      <color theme="3" tint="0.39997558519241921"/>
      <name val="Calibri"/>
      <family val="2"/>
      <scheme val="minor"/>
    </font>
    <font>
      <vertAlign val="superscript"/>
      <sz val="10.5"/>
      <color theme="3" tint="0.3999755851924192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2060"/>
      <name val="Arial Narrow"/>
      <family val="2"/>
    </font>
    <font>
      <b/>
      <sz val="12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color rgb="FF002060"/>
      <name val="Arial Narrow"/>
      <family val="2"/>
    </font>
    <font>
      <i/>
      <sz val="10"/>
      <color rgb="FF002060"/>
      <name val="Arial Narrow"/>
      <family val="2"/>
    </font>
    <font>
      <u/>
      <sz val="10"/>
      <color rgb="FF002060"/>
      <name val="Arial Narrow"/>
      <family val="2"/>
    </font>
    <font>
      <b/>
      <sz val="13"/>
      <color rgb="FF002060"/>
      <name val="Arial Narrow"/>
      <family val="2"/>
    </font>
    <font>
      <b/>
      <sz val="18"/>
      <color rgb="FF002060"/>
      <name val="Arial Narrow"/>
      <family val="2"/>
    </font>
    <font>
      <b/>
      <sz val="12"/>
      <color rgb="FF00B050"/>
      <name val="Calibri"/>
      <family val="2"/>
      <scheme val="minor"/>
    </font>
    <font>
      <b/>
      <sz val="11"/>
      <color rgb="FF002060"/>
      <name val="Arial Narrow"/>
      <family val="2"/>
    </font>
    <font>
      <sz val="12"/>
      <color rgb="FF002060"/>
      <name val="Arial Narrow"/>
      <family val="2"/>
    </font>
    <font>
      <b/>
      <sz val="12"/>
      <color rgb="FF0070C0"/>
      <name val="Arial Narrow"/>
      <family val="2"/>
    </font>
    <font>
      <sz val="12"/>
      <color theme="1"/>
      <name val="Arial Narrow"/>
      <family val="2"/>
    </font>
    <font>
      <sz val="12"/>
      <color rgb="FF0070C0"/>
      <name val="Arial Narrow"/>
      <family val="2"/>
    </font>
    <font>
      <i/>
      <sz val="12"/>
      <color rgb="FF002060"/>
      <name val="Arial Narrow"/>
      <family val="2"/>
    </font>
    <font>
      <u/>
      <sz val="12"/>
      <color rgb="FF002060"/>
      <name val="Arial Narrow"/>
      <family val="2"/>
    </font>
    <font>
      <sz val="12"/>
      <name val="Arial Narrow"/>
      <family val="2"/>
    </font>
    <font>
      <u/>
      <sz val="10"/>
      <color rgb="FF002060"/>
      <name val="Arial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164" fontId="1" fillId="0" borderId="0" applyFont="0" applyFill="0" applyBorder="0" applyAlignment="0" applyProtection="0"/>
    <xf numFmtId="0" fontId="9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/>
    <xf numFmtId="2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4" fontId="11" fillId="0" borderId="1" xfId="1" applyNumberFormat="1" applyFont="1" applyBorder="1" applyAlignment="1">
      <alignment horizontal="center"/>
    </xf>
    <xf numFmtId="0" fontId="12" fillId="0" borderId="0" xfId="1" applyFont="1"/>
    <xf numFmtId="0" fontId="11" fillId="0" borderId="1" xfId="1" applyFont="1" applyBorder="1" applyAlignment="1">
      <alignment horizontal="center"/>
    </xf>
    <xf numFmtId="0" fontId="11" fillId="0" borderId="2" xfId="1" applyFont="1" applyBorder="1"/>
    <xf numFmtId="4" fontId="7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4" fontId="13" fillId="2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4" fontId="12" fillId="0" borderId="0" xfId="1" applyNumberFormat="1" applyFont="1"/>
    <xf numFmtId="4" fontId="9" fillId="0" borderId="0" xfId="1" applyNumberFormat="1"/>
    <xf numFmtId="4" fontId="0" fillId="0" borderId="0" xfId="0" applyNumberFormat="1"/>
    <xf numFmtId="2" fontId="11" fillId="0" borderId="1" xfId="1" applyNumberFormat="1" applyFont="1" applyBorder="1" applyAlignment="1">
      <alignment horizontal="center"/>
    </xf>
    <xf numFmtId="0" fontId="12" fillId="3" borderId="0" xfId="1" applyFont="1" applyFill="1"/>
    <xf numFmtId="0" fontId="0" fillId="3" borderId="0" xfId="0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4" fontId="14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" fontId="8" fillId="0" borderId="0" xfId="0" applyNumberFormat="1" applyFont="1"/>
    <xf numFmtId="0" fontId="5" fillId="0" borderId="0" xfId="0" applyFont="1" applyAlignment="1">
      <alignment horizontal="left"/>
    </xf>
    <xf numFmtId="0" fontId="15" fillId="0" borderId="0" xfId="0" applyFont="1"/>
    <xf numFmtId="4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3" xfId="0" applyFont="1" applyBorder="1" applyAlignment="1">
      <alignment horizontal="justify" vertical="center"/>
    </xf>
    <xf numFmtId="0" fontId="8" fillId="0" borderId="3" xfId="0" applyFont="1" applyBorder="1"/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/>
    <xf numFmtId="164" fontId="0" fillId="0" borderId="0" xfId="2" applyFont="1"/>
    <xf numFmtId="0" fontId="20" fillId="0" borderId="1" xfId="1" applyFont="1" applyBorder="1"/>
    <xf numFmtId="2" fontId="16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 vertical="center"/>
    </xf>
    <xf numFmtId="164" fontId="21" fillId="0" borderId="0" xfId="2" applyFont="1" applyBorder="1" applyAlignment="1">
      <alignment horizontal="center"/>
    </xf>
    <xf numFmtId="0" fontId="22" fillId="0" borderId="0" xfId="0" applyFont="1"/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2" fontId="9" fillId="0" borderId="0" xfId="1" applyNumberFormat="1"/>
    <xf numFmtId="0" fontId="4" fillId="2" borderId="1" xfId="0" applyFont="1" applyFill="1" applyBorder="1" applyAlignment="1">
      <alignment horizontal="center"/>
    </xf>
    <xf numFmtId="0" fontId="9" fillId="0" borderId="0" xfId="1"/>
    <xf numFmtId="164" fontId="7" fillId="0" borderId="0" xfId="2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23" fillId="2" borderId="1" xfId="1" applyFont="1" applyFill="1" applyBorder="1" applyAlignment="1">
      <alignment horizontal="center"/>
    </xf>
    <xf numFmtId="164" fontId="9" fillId="0" borderId="0" xfId="2" applyFont="1"/>
    <xf numFmtId="0" fontId="23" fillId="2" borderId="1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24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11" fillId="0" borderId="1" xfId="1" applyNumberFormat="1" applyFont="1" applyBorder="1" applyAlignment="1">
      <alignment horizontal="center" vertical="center"/>
    </xf>
    <xf numFmtId="164" fontId="27" fillId="0" borderId="0" xfId="2" applyFont="1" applyBorder="1" applyAlignment="1">
      <alignment horizontal="center"/>
    </xf>
    <xf numFmtId="164" fontId="27" fillId="0" borderId="0" xfId="2" applyFont="1" applyBorder="1" applyAlignment="1">
      <alignment wrapText="1"/>
    </xf>
    <xf numFmtId="0" fontId="28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wrapText="1"/>
    </xf>
    <xf numFmtId="4" fontId="31" fillId="3" borderId="1" xfId="1" applyNumberFormat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/>
    </xf>
    <xf numFmtId="0" fontId="31" fillId="3" borderId="1" xfId="1" applyFont="1" applyFill="1" applyBorder="1" applyAlignment="1">
      <alignment horizontal="left"/>
    </xf>
    <xf numFmtId="4" fontId="31" fillId="3" borderId="1" xfId="1" applyNumberFormat="1" applyFont="1" applyFill="1" applyBorder="1" applyAlignment="1">
      <alignment horizontal="center"/>
    </xf>
    <xf numFmtId="0" fontId="31" fillId="3" borderId="1" xfId="1" applyFont="1" applyFill="1" applyBorder="1" applyAlignment="1">
      <alignment horizontal="center"/>
    </xf>
    <xf numFmtId="0" fontId="31" fillId="3" borderId="1" xfId="1" applyFont="1" applyFill="1" applyBorder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/>
    <xf numFmtId="4" fontId="33" fillId="3" borderId="1" xfId="1" applyNumberFormat="1" applyFont="1" applyFill="1" applyBorder="1" applyAlignment="1">
      <alignment horizontal="center"/>
    </xf>
    <xf numFmtId="2" fontId="31" fillId="3" borderId="1" xfId="1" applyNumberFormat="1" applyFont="1" applyFill="1" applyBorder="1" applyAlignment="1">
      <alignment horizontal="center"/>
    </xf>
    <xf numFmtId="0" fontId="28" fillId="3" borderId="1" xfId="1" applyFont="1" applyFill="1" applyBorder="1" applyAlignment="1">
      <alignment horizontal="center"/>
    </xf>
    <xf numFmtId="164" fontId="9" fillId="0" borderId="0" xfId="2" applyFont="1" applyFill="1"/>
    <xf numFmtId="0" fontId="28" fillId="4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vertical="center"/>
    </xf>
    <xf numFmtId="4" fontId="34" fillId="4" borderId="1" xfId="1" applyNumberFormat="1" applyFont="1" applyFill="1" applyBorder="1" applyAlignment="1">
      <alignment horizontal="center" vertical="center"/>
    </xf>
    <xf numFmtId="2" fontId="9" fillId="0" borderId="0" xfId="1" applyNumberFormat="1" applyAlignment="1">
      <alignment vertical="center"/>
    </xf>
    <xf numFmtId="4" fontId="14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5" fillId="0" borderId="0" xfId="2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164" fontId="36" fillId="0" borderId="0" xfId="2" applyFont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4" fontId="31" fillId="0" borderId="1" xfId="1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center"/>
    </xf>
    <xf numFmtId="0" fontId="31" fillId="0" borderId="1" xfId="1" applyFont="1" applyBorder="1" applyAlignment="1">
      <alignment horizontal="left"/>
    </xf>
    <xf numFmtId="4" fontId="31" fillId="0" borderId="1" xfId="1" applyNumberFormat="1" applyFont="1" applyBorder="1" applyAlignment="1">
      <alignment horizontal="center"/>
    </xf>
    <xf numFmtId="0" fontId="31" fillId="0" borderId="1" xfId="1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" fontId="33" fillId="0" borderId="1" xfId="1" applyNumberFormat="1" applyFont="1" applyBorder="1" applyAlignment="1">
      <alignment horizontal="center"/>
    </xf>
    <xf numFmtId="2" fontId="31" fillId="0" borderId="1" xfId="1" applyNumberFormat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28" fillId="2" borderId="1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vertical="center"/>
    </xf>
    <xf numFmtId="4" fontId="37" fillId="2" borderId="1" xfId="1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64" fontId="18" fillId="0" borderId="0" xfId="2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/>
    <xf numFmtId="164" fontId="40" fillId="0" borderId="0" xfId="2" applyFont="1"/>
    <xf numFmtId="0" fontId="29" fillId="0" borderId="1" xfId="0" applyFont="1" applyBorder="1" applyAlignment="1">
      <alignment horizontal="center"/>
    </xf>
    <xf numFmtId="0" fontId="41" fillId="0" borderId="0" xfId="0" applyFont="1"/>
    <xf numFmtId="2" fontId="40" fillId="0" borderId="0" xfId="0" applyNumberFormat="1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4" fontId="38" fillId="0" borderId="1" xfId="1" applyNumberFormat="1" applyFont="1" applyBorder="1" applyAlignment="1">
      <alignment horizontal="center" vertical="center"/>
    </xf>
    <xf numFmtId="0" fontId="42" fillId="0" borderId="1" xfId="1" applyFont="1" applyBorder="1" applyAlignment="1">
      <alignment horizontal="center"/>
    </xf>
    <xf numFmtId="0" fontId="38" fillId="0" borderId="1" xfId="1" applyFont="1" applyBorder="1"/>
    <xf numFmtId="4" fontId="38" fillId="0" borderId="1" xfId="1" applyNumberFormat="1" applyFont="1" applyBorder="1" applyAlignment="1">
      <alignment horizontal="center"/>
    </xf>
    <xf numFmtId="0" fontId="41" fillId="0" borderId="0" xfId="1" applyFont="1"/>
    <xf numFmtId="0" fontId="38" fillId="0" borderId="1" xfId="1" applyFont="1" applyBorder="1" applyAlignment="1">
      <alignment horizontal="center"/>
    </xf>
    <xf numFmtId="0" fontId="38" fillId="0" borderId="2" xfId="1" applyFont="1" applyBorder="1"/>
    <xf numFmtId="0" fontId="38" fillId="0" borderId="1" xfId="0" applyFont="1" applyBorder="1" applyAlignment="1">
      <alignment horizontal="center"/>
    </xf>
    <xf numFmtId="0" fontId="38" fillId="0" borderId="2" xfId="0" applyFont="1" applyBorder="1"/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vertical="center"/>
    </xf>
    <xf numFmtId="4" fontId="43" fillId="0" borderId="1" xfId="1" applyNumberFormat="1" applyFont="1" applyBorder="1" applyAlignment="1">
      <alignment horizontal="center" vertical="center"/>
    </xf>
    <xf numFmtId="0" fontId="38" fillId="3" borderId="1" xfId="1" applyFont="1" applyFill="1" applyBorder="1" applyAlignment="1">
      <alignment horizontal="center"/>
    </xf>
    <xf numFmtId="4" fontId="41" fillId="0" borderId="0" xfId="1" applyNumberFormat="1" applyFont="1"/>
    <xf numFmtId="4" fontId="44" fillId="0" borderId="0" xfId="1" applyNumberFormat="1" applyFont="1"/>
    <xf numFmtId="4" fontId="40" fillId="0" borderId="0" xfId="0" applyNumberFormat="1" applyFont="1"/>
    <xf numFmtId="2" fontId="38" fillId="0" borderId="1" xfId="1" applyNumberFormat="1" applyFont="1" applyBorder="1" applyAlignment="1">
      <alignment horizontal="center"/>
    </xf>
    <xf numFmtId="0" fontId="41" fillId="3" borderId="0" xfId="1" applyFont="1" applyFill="1"/>
    <xf numFmtId="0" fontId="40" fillId="3" borderId="0" xfId="0" applyFont="1" applyFill="1"/>
    <xf numFmtId="0" fontId="38" fillId="2" borderId="1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vertical="center"/>
    </xf>
    <xf numFmtId="4" fontId="29" fillId="2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/>
    <xf numFmtId="4" fontId="11" fillId="0" borderId="1" xfId="1" applyNumberFormat="1" applyFont="1" applyFill="1" applyBorder="1" applyAlignment="1">
      <alignment horizontal="center"/>
    </xf>
    <xf numFmtId="0" fontId="11" fillId="0" borderId="2" xfId="1" applyFont="1" applyFill="1" applyBorder="1"/>
    <xf numFmtId="0" fontId="11" fillId="0" borderId="2" xfId="0" applyFont="1" applyFill="1" applyBorder="1"/>
    <xf numFmtId="0" fontId="11" fillId="0" borderId="1" xfId="1" applyFont="1" applyFill="1" applyBorder="1" applyAlignment="1">
      <alignment vertical="center"/>
    </xf>
    <xf numFmtId="4" fontId="45" fillId="0" borderId="1" xfId="1" applyNumberFormat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/>
    </xf>
    <xf numFmtId="0" fontId="41" fillId="0" borderId="0" xfId="1" applyFont="1" applyFill="1"/>
    <xf numFmtId="4" fontId="40" fillId="0" borderId="0" xfId="0" applyNumberFormat="1" applyFont="1" applyFill="1"/>
    <xf numFmtId="0" fontId="40" fillId="0" borderId="0" xfId="0" applyFont="1" applyFill="1"/>
    <xf numFmtId="0" fontId="46" fillId="0" borderId="5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6" fillId="0" borderId="5" xfId="1" applyFont="1" applyFill="1" applyBorder="1" applyAlignment="1">
      <alignment horizontal="center" vertical="center"/>
    </xf>
  </cellXfs>
  <cellStyles count="4">
    <cellStyle name="Comma 2" xfId="2" xr:uid="{A6C95CAD-F49F-4518-8459-1D2310DF55C6}"/>
    <cellStyle name="Normal" xfId="0" builtinId="0"/>
    <cellStyle name="Normal 2" xfId="1" xr:uid="{8E3E77DD-1B47-4C5D-9B2F-B9603979E66D}"/>
    <cellStyle name="Normal 3" xfId="3" xr:uid="{F4621F29-3146-4E38-A57B-8CFE747D4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61D18119-9406-4587-B8F7-40345A7686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7C878FF1-B17F-4761-8C8F-0A0A20D8B2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8AD30A87-4A8F-4050-B649-62C4E771FE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777767BC-788D-4E60-A4A9-714128710A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2506AC05-522A-4850-A57C-D69D1FAC6C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9FC9FAE1-A7FF-415D-8754-92DB57AA38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1A710728-E4A1-424E-BFC7-4D69C30048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454C07FB-FBB9-4939-81A1-AAD3CE20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CE67578D-04E0-4175-80B4-2801805F1F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002AB8F9-4379-4B67-84DC-D6642EDC2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AC5D4F12-7E86-47E7-99FB-370D068964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FC444B4D-F82C-4F4B-97FB-26FB07C848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E8FE44E2-A183-4661-B4E8-D66A727389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674370"/>
    <xdr:pic>
      <xdr:nvPicPr>
        <xdr:cNvPr id="2" name="Picture 1">
          <a:extLst>
            <a:ext uri="{FF2B5EF4-FFF2-40B4-BE49-F238E27FC236}">
              <a16:creationId xmlns:a16="http://schemas.microsoft.com/office/drawing/2014/main" id="{887D376B-97AD-426B-B93E-47981FD1D6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BC240A96-D0FC-41CE-A251-AFB235D8AB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FB53A895-8666-47C2-ACF1-2DB7EF8B3D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807A0566-BC40-4FCD-8A61-61FE087BB9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B1F703D5-4E8B-48ED-92D0-B62243EA78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4572001" cy="539750"/>
    <xdr:pic>
      <xdr:nvPicPr>
        <xdr:cNvPr id="2" name="Picture 1">
          <a:extLst>
            <a:ext uri="{FF2B5EF4-FFF2-40B4-BE49-F238E27FC236}">
              <a16:creationId xmlns:a16="http://schemas.microsoft.com/office/drawing/2014/main" id="{B0C4501A-E431-49DC-BCEB-1284EEC96A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5250"/>
          <a:ext cx="4572001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5F9A01FE-288D-479D-A08F-BFBE021AD0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123825</xdr:rowOff>
    </xdr:from>
    <xdr:ext cx="6225021" cy="616527"/>
    <xdr:pic>
      <xdr:nvPicPr>
        <xdr:cNvPr id="2" name="Picture 1">
          <a:extLst>
            <a:ext uri="{FF2B5EF4-FFF2-40B4-BE49-F238E27FC236}">
              <a16:creationId xmlns:a16="http://schemas.microsoft.com/office/drawing/2014/main" id="{CE3F5BBE-7335-4376-8AF3-F431E558E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6225021" cy="61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 /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 /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 /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 /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 /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 /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 /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Relationship Id="rId1" Type="http://schemas.openxmlformats.org/officeDocument/2006/relationships/printerSettings" Target="../printerSettings/printerSettings2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08DB-6035-4D11-A2C9-C252093CD474}">
  <dimension ref="A1:H50"/>
  <sheetViews>
    <sheetView topLeftCell="A16" zoomScaleNormal="100" workbookViewId="0">
      <selection activeCell="I42" sqref="I42"/>
    </sheetView>
  </sheetViews>
  <sheetFormatPr defaultRowHeight="15" x14ac:dyDescent="0.2"/>
  <cols>
    <col min="1" max="1" width="9.81640625" style="1" customWidth="1"/>
    <col min="2" max="2" width="61.33984375" customWidth="1"/>
    <col min="3" max="4" width="13.046875" customWidth="1"/>
    <col min="5" max="5" width="12.10546875" customWidth="1"/>
    <col min="6" max="6" width="13.046875" customWidth="1"/>
    <col min="7" max="7" width="22.05859375" customWidth="1"/>
  </cols>
  <sheetData>
    <row r="1" spans="1:8" x14ac:dyDescent="0.2">
      <c r="F1" s="2"/>
    </row>
    <row r="2" spans="1:8" x14ac:dyDescent="0.2">
      <c r="F2" s="2"/>
    </row>
    <row r="3" spans="1:8" x14ac:dyDescent="0.2">
      <c r="F3" s="2"/>
    </row>
    <row r="4" spans="1:8" ht="26.25" customHeight="1" x14ac:dyDescent="0.2">
      <c r="A4" s="3"/>
      <c r="B4" s="169" t="s">
        <v>0</v>
      </c>
      <c r="C4" s="169"/>
      <c r="D4" s="169"/>
      <c r="E4" s="169"/>
      <c r="F4" s="169"/>
      <c r="G4" s="4"/>
    </row>
    <row r="5" spans="1:8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</row>
    <row r="6" spans="1:8" ht="20.25" customHeight="1" x14ac:dyDescent="0.2">
      <c r="A6" s="8">
        <v>1</v>
      </c>
      <c r="B6" s="9" t="s">
        <v>7</v>
      </c>
      <c r="C6" s="10">
        <v>704.54</v>
      </c>
      <c r="D6" s="10">
        <v>627.04999999999995</v>
      </c>
      <c r="E6" s="10">
        <v>682.68</v>
      </c>
      <c r="F6" s="10">
        <v>477.95</v>
      </c>
      <c r="G6" s="6"/>
      <c r="H6" s="7"/>
    </row>
    <row r="7" spans="1:8" x14ac:dyDescent="0.2">
      <c r="A7" s="11">
        <v>2</v>
      </c>
      <c r="B7" s="12" t="s">
        <v>8</v>
      </c>
      <c r="C7" s="13">
        <v>86.5</v>
      </c>
      <c r="D7" s="13">
        <f>63+22</f>
        <v>85</v>
      </c>
      <c r="E7" s="13">
        <f>63+6</f>
        <v>69</v>
      </c>
      <c r="F7" s="13">
        <f>81.5+17</f>
        <v>98.5</v>
      </c>
      <c r="G7" s="14"/>
      <c r="H7" s="7"/>
    </row>
    <row r="8" spans="1:8" x14ac:dyDescent="0.2">
      <c r="A8" s="15">
        <v>3</v>
      </c>
      <c r="B8" s="16" t="s">
        <v>9</v>
      </c>
      <c r="C8" s="17">
        <f>C6+C7</f>
        <v>791.04</v>
      </c>
      <c r="D8" s="17">
        <f>D6+D7</f>
        <v>712.05</v>
      </c>
      <c r="E8" s="17">
        <f>E6+E7</f>
        <v>751.68</v>
      </c>
      <c r="F8" s="17">
        <f>F6+F7</f>
        <v>576.45000000000005</v>
      </c>
      <c r="G8" s="14"/>
      <c r="H8" s="7"/>
    </row>
    <row r="9" spans="1:8" x14ac:dyDescent="0.2">
      <c r="A9" s="15">
        <v>4</v>
      </c>
      <c r="B9" s="16" t="s">
        <v>10</v>
      </c>
      <c r="C9" s="13">
        <f>C8*5%</f>
        <v>39.552</v>
      </c>
      <c r="D9" s="13">
        <f t="shared" ref="D9:F9" si="0">D8*5%</f>
        <v>35.602499999999999</v>
      </c>
      <c r="E9" s="13">
        <f t="shared" si="0"/>
        <v>37.583999999999996</v>
      </c>
      <c r="F9" s="13">
        <f t="shared" si="0"/>
        <v>28.822500000000005</v>
      </c>
      <c r="G9" s="14"/>
    </row>
    <row r="10" spans="1:8" x14ac:dyDescent="0.2">
      <c r="A10" s="15">
        <v>5</v>
      </c>
      <c r="B10" s="16" t="s">
        <v>11</v>
      </c>
      <c r="C10" s="13">
        <v>4.7</v>
      </c>
      <c r="D10" s="13">
        <v>4.7</v>
      </c>
      <c r="E10" s="13">
        <v>4.7</v>
      </c>
      <c r="F10" s="13">
        <v>4.7</v>
      </c>
      <c r="G10" s="14"/>
    </row>
    <row r="11" spans="1:8" x14ac:dyDescent="0.2">
      <c r="A11" s="18">
        <v>6</v>
      </c>
      <c r="B11" s="19" t="s">
        <v>12</v>
      </c>
      <c r="C11" s="13">
        <v>3</v>
      </c>
      <c r="D11" s="13">
        <v>3</v>
      </c>
      <c r="E11" s="13">
        <v>3</v>
      </c>
      <c r="F11" s="13">
        <v>2</v>
      </c>
      <c r="G11" s="14"/>
    </row>
    <row r="12" spans="1:8" x14ac:dyDescent="0.2">
      <c r="A12" s="18">
        <v>7</v>
      </c>
      <c r="B12" s="19" t="s">
        <v>13</v>
      </c>
      <c r="C12" s="17">
        <v>10</v>
      </c>
      <c r="D12" s="17">
        <v>10</v>
      </c>
      <c r="E12" s="17">
        <v>10</v>
      </c>
      <c r="F12" s="17">
        <v>10</v>
      </c>
      <c r="G12" s="14"/>
    </row>
    <row r="13" spans="1:8" x14ac:dyDescent="0.2">
      <c r="A13" s="15">
        <v>8</v>
      </c>
      <c r="B13" s="16" t="s">
        <v>14</v>
      </c>
      <c r="C13" s="13">
        <v>2</v>
      </c>
      <c r="D13" s="13">
        <v>2</v>
      </c>
      <c r="E13" s="13">
        <v>2</v>
      </c>
      <c r="F13" s="13">
        <v>2</v>
      </c>
      <c r="G13" s="14"/>
    </row>
    <row r="14" spans="1:8" x14ac:dyDescent="0.2">
      <c r="A14" s="15">
        <v>9</v>
      </c>
      <c r="B14" s="16" t="s">
        <v>15</v>
      </c>
      <c r="C14" s="13">
        <v>2</v>
      </c>
      <c r="D14" s="13">
        <v>2</v>
      </c>
      <c r="E14" s="13">
        <v>2</v>
      </c>
      <c r="F14" s="13">
        <v>2</v>
      </c>
      <c r="G14" s="14"/>
    </row>
    <row r="15" spans="1:8" x14ac:dyDescent="0.2">
      <c r="A15" s="15">
        <v>10</v>
      </c>
      <c r="B15" s="16" t="s">
        <v>16</v>
      </c>
      <c r="C15" s="13">
        <f>5.68+7.8</f>
        <v>13.48</v>
      </c>
      <c r="D15" s="13">
        <f>4.96+7.8</f>
        <v>12.76</v>
      </c>
      <c r="E15" s="13">
        <f>5.51+7.8</f>
        <v>13.309999999999999</v>
      </c>
      <c r="F15" s="13">
        <f>3.07+7.8</f>
        <v>10.87</v>
      </c>
      <c r="G15" s="14"/>
    </row>
    <row r="16" spans="1:8" x14ac:dyDescent="0.2">
      <c r="A16" s="15">
        <v>11</v>
      </c>
      <c r="B16" s="16" t="s">
        <v>17</v>
      </c>
      <c r="C16" s="17">
        <f>SUM(C8:C15)</f>
        <v>865.77200000000005</v>
      </c>
      <c r="D16" s="17">
        <f>SUM(D8:D15)</f>
        <v>782.11249999999995</v>
      </c>
      <c r="E16" s="17">
        <f>SUM(E8:E15)</f>
        <v>824.27399999999989</v>
      </c>
      <c r="F16" s="17">
        <f>SUM(F8:F15)</f>
        <v>636.84250000000009</v>
      </c>
      <c r="G16" s="14"/>
    </row>
    <row r="17" spans="1:8" x14ac:dyDescent="0.2">
      <c r="A17" s="15">
        <v>12</v>
      </c>
      <c r="B17" s="16" t="s">
        <v>18</v>
      </c>
      <c r="C17" s="17">
        <v>1362</v>
      </c>
      <c r="D17" s="17">
        <v>1162.24</v>
      </c>
      <c r="E17" s="17">
        <v>1248.5</v>
      </c>
      <c r="F17" s="17">
        <v>1071.44</v>
      </c>
      <c r="G17" s="14"/>
    </row>
    <row r="18" spans="1:8" x14ac:dyDescent="0.2">
      <c r="A18" s="15">
        <v>13</v>
      </c>
      <c r="B18" s="16" t="s">
        <v>19</v>
      </c>
      <c r="C18" s="17">
        <f>C16/C17</f>
        <v>0.63566226138032311</v>
      </c>
      <c r="D18" s="17">
        <f>D16/D17</f>
        <v>0.67293545223017615</v>
      </c>
      <c r="E18" s="17">
        <f>E16/E17</f>
        <v>0.6602114537444933</v>
      </c>
      <c r="F18" s="17">
        <f>F16/F17</f>
        <v>0.59437999328007174</v>
      </c>
      <c r="G18" s="14"/>
    </row>
    <row r="19" spans="1:8" ht="17.25" customHeight="1" x14ac:dyDescent="0.2">
      <c r="A19" s="20">
        <v>14</v>
      </c>
      <c r="B19" s="21" t="s">
        <v>20</v>
      </c>
      <c r="C19" s="22">
        <v>11676.13</v>
      </c>
      <c r="D19" s="22">
        <v>11676.13</v>
      </c>
      <c r="E19" s="22">
        <v>11676.13</v>
      </c>
      <c r="F19" s="22">
        <v>11676.13</v>
      </c>
      <c r="G19" s="14"/>
    </row>
    <row r="20" spans="1:8" x14ac:dyDescent="0.2">
      <c r="A20" s="15">
        <v>15</v>
      </c>
      <c r="B20" s="12" t="s">
        <v>21</v>
      </c>
      <c r="C20" s="17">
        <f>C18*C19</f>
        <v>7422.0751999706317</v>
      </c>
      <c r="D20" s="17">
        <f>D18*D19</f>
        <v>7857.2818218483262</v>
      </c>
      <c r="E20" s="17">
        <f>E18*E19</f>
        <v>7708.7147614096903</v>
      </c>
      <c r="F20" s="17">
        <f>F18*F19</f>
        <v>6940.0580709372434</v>
      </c>
      <c r="G20" s="14"/>
    </row>
    <row r="21" spans="1:8" x14ac:dyDescent="0.2">
      <c r="A21" s="15">
        <v>16</v>
      </c>
      <c r="B21" s="12" t="s">
        <v>22</v>
      </c>
      <c r="C21" s="13">
        <f>1115.37+250+100</f>
        <v>1465.37</v>
      </c>
      <c r="D21" s="13">
        <f>967.41+250+250</f>
        <v>1467.4099999999999</v>
      </c>
      <c r="E21" s="13">
        <f>984.79+250</f>
        <v>1234.79</v>
      </c>
      <c r="F21" s="13">
        <f>526.95+250+240</f>
        <v>1016.95</v>
      </c>
      <c r="G21" s="14"/>
    </row>
    <row r="22" spans="1:8" x14ac:dyDescent="0.2">
      <c r="A22" s="23">
        <v>17</v>
      </c>
      <c r="B22" s="24" t="s">
        <v>23</v>
      </c>
      <c r="C22" s="17">
        <v>50</v>
      </c>
      <c r="D22" s="17">
        <v>50</v>
      </c>
      <c r="E22" s="17">
        <v>50</v>
      </c>
      <c r="F22" s="17">
        <v>50</v>
      </c>
      <c r="G22" s="14"/>
    </row>
    <row r="23" spans="1:8" x14ac:dyDescent="0.2">
      <c r="A23" s="15">
        <v>18</v>
      </c>
      <c r="B23" s="12" t="s">
        <v>24</v>
      </c>
      <c r="C23" s="13">
        <v>55</v>
      </c>
      <c r="D23" s="13">
        <v>55</v>
      </c>
      <c r="E23" s="13">
        <v>55</v>
      </c>
      <c r="F23" s="13">
        <v>0</v>
      </c>
      <c r="G23" s="14"/>
    </row>
    <row r="24" spans="1:8" x14ac:dyDescent="0.2">
      <c r="A24" s="25">
        <v>19</v>
      </c>
      <c r="B24" s="26" t="s">
        <v>25</v>
      </c>
      <c r="C24" s="17">
        <v>442.18</v>
      </c>
      <c r="D24" s="17">
        <v>4.9400000000000004</v>
      </c>
      <c r="E24" s="17">
        <v>881.5</v>
      </c>
      <c r="F24" s="17">
        <v>1992.99</v>
      </c>
      <c r="G24" s="27"/>
      <c r="H24" s="28"/>
    </row>
    <row r="25" spans="1:8" x14ac:dyDescent="0.2">
      <c r="A25" s="15">
        <v>20</v>
      </c>
      <c r="B25" s="12" t="s">
        <v>26</v>
      </c>
      <c r="C25" s="13">
        <v>495.37</v>
      </c>
      <c r="D25" s="13">
        <v>495.37</v>
      </c>
      <c r="E25" s="13">
        <v>0</v>
      </c>
      <c r="F25" s="13">
        <v>0</v>
      </c>
      <c r="G25" s="27"/>
      <c r="H25" s="29"/>
    </row>
    <row r="26" spans="1:8" x14ac:dyDescent="0.2">
      <c r="A26" s="15">
        <v>21</v>
      </c>
      <c r="B26" s="12" t="s">
        <v>27</v>
      </c>
      <c r="C26" s="13">
        <v>70</v>
      </c>
      <c r="D26" s="13">
        <v>70</v>
      </c>
      <c r="E26" s="13">
        <v>70</v>
      </c>
      <c r="F26" s="30">
        <v>0</v>
      </c>
      <c r="G26" s="14"/>
    </row>
    <row r="27" spans="1:8" s="32" customFormat="1" x14ac:dyDescent="0.2">
      <c r="A27" s="23">
        <v>22</v>
      </c>
      <c r="B27" s="24" t="s">
        <v>28</v>
      </c>
      <c r="C27" s="17">
        <v>0</v>
      </c>
      <c r="D27" s="17">
        <v>0</v>
      </c>
      <c r="E27" s="17">
        <v>0</v>
      </c>
      <c r="F27" s="17">
        <v>0</v>
      </c>
      <c r="G27" s="31"/>
    </row>
    <row r="28" spans="1:8" x14ac:dyDescent="0.2">
      <c r="A28" s="15">
        <v>23</v>
      </c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27"/>
      <c r="H28" s="28"/>
    </row>
    <row r="29" spans="1:8" ht="20.25" customHeight="1" x14ac:dyDescent="0.2">
      <c r="A29" s="33">
        <v>24</v>
      </c>
      <c r="B29" s="34" t="s">
        <v>30</v>
      </c>
      <c r="C29" s="35">
        <f>SUM(C20:C28)</f>
        <v>9999.9951999706336</v>
      </c>
      <c r="D29" s="35">
        <f>SUM(D20:D28)</f>
        <v>10000.001821848327</v>
      </c>
      <c r="E29" s="35">
        <f>SUM(E20:E28)</f>
        <v>10000.004761409691</v>
      </c>
      <c r="F29" s="35">
        <f>SUM(F20:F28)</f>
        <v>9999.998070937243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2.75" hidden="1" customHeight="1" x14ac:dyDescent="0.2">
      <c r="A31" s="3"/>
      <c r="C31" s="37"/>
      <c r="D31" s="37"/>
      <c r="E31" s="37"/>
      <c r="F31" s="37"/>
      <c r="G31" s="37"/>
    </row>
    <row r="32" spans="1:8" s="36" customFormat="1" ht="0.75" customHeight="1" x14ac:dyDescent="0.2">
      <c r="A32" s="39" t="s">
        <v>31</v>
      </c>
      <c r="B32" s="40"/>
      <c r="C32" s="39" t="s">
        <v>31</v>
      </c>
      <c r="D32" s="40"/>
      <c r="E32" s="41"/>
      <c r="F32" s="41"/>
      <c r="G32" s="37"/>
    </row>
    <row r="33" spans="1:7" s="36" customFormat="1" ht="14.25" hidden="1" customHeight="1" x14ac:dyDescent="0.2">
      <c r="A33" s="39" t="s">
        <v>32</v>
      </c>
      <c r="B33" s="40"/>
      <c r="C33" s="39" t="s">
        <v>33</v>
      </c>
      <c r="D33" s="40"/>
      <c r="E33" s="41"/>
      <c r="F33" s="41"/>
      <c r="G33" s="37"/>
    </row>
    <row r="34" spans="1:7" s="36" customFormat="1" ht="14.25" hidden="1" customHeight="1" x14ac:dyDescent="0.2">
      <c r="A34" s="42"/>
      <c r="B34" s="40"/>
      <c r="C34" s="42"/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39" t="s">
        <v>31</v>
      </c>
      <c r="B36" s="40"/>
      <c r="C36" s="39" t="s">
        <v>31</v>
      </c>
      <c r="D36" s="40"/>
      <c r="E36" s="41"/>
      <c r="F36" s="41"/>
      <c r="G36" s="37"/>
    </row>
    <row r="37" spans="1:7" s="36" customFormat="1" ht="14.25" hidden="1" customHeight="1" x14ac:dyDescent="0.2">
      <c r="A37" s="39" t="s">
        <v>34</v>
      </c>
      <c r="B37" s="40"/>
      <c r="C37" s="39" t="s">
        <v>35</v>
      </c>
      <c r="D37" s="40"/>
      <c r="E37" s="41"/>
      <c r="F37" s="41"/>
      <c r="G37" s="37"/>
    </row>
    <row r="38" spans="1:7" s="36" customFormat="1" ht="14.25" hidden="1" customHeight="1" x14ac:dyDescent="0.2">
      <c r="A38" s="42"/>
      <c r="B38" s="40"/>
      <c r="C38" s="42"/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39" t="s">
        <v>36</v>
      </c>
      <c r="B40" s="40"/>
      <c r="C40" s="39" t="s">
        <v>36</v>
      </c>
      <c r="D40" s="40"/>
      <c r="E40" s="41"/>
      <c r="F40" s="41"/>
      <c r="G40" s="37"/>
    </row>
    <row r="41" spans="1:7" s="36" customFormat="1" ht="14.25" hidden="1" customHeight="1" x14ac:dyDescent="0.2">
      <c r="A41" s="39" t="s">
        <v>37</v>
      </c>
      <c r="B41" s="40"/>
      <c r="C41" s="39" t="s">
        <v>38</v>
      </c>
      <c r="D41" s="40"/>
      <c r="E41" s="41"/>
      <c r="F41" s="41"/>
      <c r="G41" s="37"/>
    </row>
    <row r="42" spans="1:7" ht="14.25" customHeight="1" x14ac:dyDescent="0.2">
      <c r="A42" s="43"/>
      <c r="B42" s="36"/>
      <c r="C42" s="43"/>
      <c r="D42" s="43"/>
      <c r="E42" s="37"/>
      <c r="F42" s="37"/>
      <c r="G42" s="38"/>
    </row>
    <row r="43" spans="1:7" ht="14.25" customHeight="1" x14ac:dyDescent="0.2">
      <c r="A43" s="44"/>
      <c r="B43" s="170" t="s">
        <v>39</v>
      </c>
      <c r="C43" s="170"/>
      <c r="D43" s="170"/>
      <c r="E43" s="170"/>
      <c r="F43" s="45"/>
      <c r="G43" s="38"/>
    </row>
    <row r="44" spans="1:7" ht="14.25" customHeight="1" x14ac:dyDescent="0.2">
      <c r="A44" s="6"/>
      <c r="B44" s="171" t="s">
        <v>40</v>
      </c>
      <c r="C44" s="171"/>
      <c r="D44" s="171"/>
      <c r="E44" s="171"/>
      <c r="F44" s="6"/>
      <c r="G44" s="38"/>
    </row>
    <row r="45" spans="1:7" ht="14.25" customHeight="1" x14ac:dyDescent="0.2">
      <c r="A45" s="47"/>
      <c r="B45" s="6"/>
      <c r="C45" s="38"/>
      <c r="D45" s="38"/>
      <c r="E45" s="38"/>
      <c r="F45" s="38"/>
      <c r="G45" s="38"/>
    </row>
    <row r="50" spans="4:4" x14ac:dyDescent="0.2">
      <c r="D50" s="48"/>
    </row>
  </sheetData>
  <mergeCells count="3">
    <mergeCell ref="B4:F4"/>
    <mergeCell ref="B43:E43"/>
    <mergeCell ref="B44:E44"/>
  </mergeCells>
  <pageMargins left="0.5" right="0.3" top="0" bottom="0" header="0.3" footer="0.3"/>
  <pageSetup paperSize="9" scale="11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0C91-19DC-4D40-970D-4511690449D6}">
  <dimension ref="A1:I38"/>
  <sheetViews>
    <sheetView topLeftCell="A12" zoomScale="110" zoomScaleNormal="110" workbookViewId="0">
      <selection activeCell="C7" sqref="C7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  <col min="9" max="9" width="9.28125" bestFit="1" customWidth="1"/>
    <col min="10" max="10" width="10.4921875" customWidth="1"/>
  </cols>
  <sheetData>
    <row r="1" spans="1:8" x14ac:dyDescent="0.2">
      <c r="E1" s="49"/>
      <c r="F1" s="99"/>
      <c r="H1" s="49"/>
    </row>
    <row r="2" spans="1:8" ht="20.45" customHeight="1" x14ac:dyDescent="0.2">
      <c r="E2" s="49"/>
      <c r="F2" s="100"/>
      <c r="H2" s="49"/>
    </row>
    <row r="3" spans="1:8" ht="15.6" customHeight="1" x14ac:dyDescent="0.2">
      <c r="E3" s="49"/>
      <c r="F3" s="101"/>
      <c r="H3" s="49"/>
    </row>
    <row r="4" spans="1:8" ht="15.6" customHeight="1" x14ac:dyDescent="0.2">
      <c r="E4" s="49"/>
      <c r="F4" s="101"/>
      <c r="H4" s="49"/>
    </row>
    <row r="5" spans="1:8" ht="15.75" x14ac:dyDescent="0.2">
      <c r="A5" s="75"/>
      <c r="B5" s="173" t="s">
        <v>64</v>
      </c>
      <c r="C5" s="173"/>
      <c r="D5" s="173"/>
      <c r="E5" s="173"/>
      <c r="F5" s="173"/>
      <c r="G5" s="54"/>
      <c r="H5" s="7"/>
    </row>
    <row r="6" spans="1:8" x14ac:dyDescent="0.2">
      <c r="A6" s="76" t="s">
        <v>1</v>
      </c>
      <c r="B6" s="77" t="s">
        <v>2</v>
      </c>
      <c r="C6" s="76" t="s">
        <v>3</v>
      </c>
      <c r="D6" s="76" t="s">
        <v>4</v>
      </c>
      <c r="E6" s="76" t="s">
        <v>5</v>
      </c>
      <c r="F6" s="76" t="s">
        <v>6</v>
      </c>
      <c r="H6" s="7"/>
    </row>
    <row r="7" spans="1:8" x14ac:dyDescent="0.2">
      <c r="A7" s="102">
        <v>1</v>
      </c>
      <c r="B7" s="103" t="s">
        <v>65</v>
      </c>
      <c r="C7" s="104">
        <v>927.85</v>
      </c>
      <c r="D7" s="104">
        <v>1012.35</v>
      </c>
      <c r="E7" s="104">
        <v>1144.8800000000001</v>
      </c>
      <c r="F7" s="104">
        <v>597.33000000000004</v>
      </c>
      <c r="H7" s="49"/>
    </row>
    <row r="8" spans="1:8" x14ac:dyDescent="0.2">
      <c r="A8" s="105">
        <v>2</v>
      </c>
      <c r="B8" s="106" t="s">
        <v>8</v>
      </c>
      <c r="C8" s="107">
        <v>86.5</v>
      </c>
      <c r="D8" s="107">
        <v>148</v>
      </c>
      <c r="E8" s="107">
        <v>69</v>
      </c>
      <c r="F8" s="107">
        <v>103.5</v>
      </c>
      <c r="G8" s="58"/>
      <c r="H8" s="49"/>
    </row>
    <row r="9" spans="1:8" x14ac:dyDescent="0.2">
      <c r="A9" s="105">
        <v>3</v>
      </c>
      <c r="B9" s="108" t="s">
        <v>9</v>
      </c>
      <c r="C9" s="107">
        <f>C7+C8</f>
        <v>1014.35</v>
      </c>
      <c r="D9" s="107">
        <f t="shared" ref="D9:F9" si="0">D7+D8</f>
        <v>1160.3499999999999</v>
      </c>
      <c r="E9" s="107">
        <f t="shared" si="0"/>
        <v>1213.8800000000001</v>
      </c>
      <c r="F9" s="107">
        <f t="shared" si="0"/>
        <v>700.83</v>
      </c>
      <c r="G9" s="58"/>
      <c r="H9" s="49"/>
    </row>
    <row r="10" spans="1:8" x14ac:dyDescent="0.2">
      <c r="A10" s="105">
        <v>4</v>
      </c>
      <c r="B10" s="108" t="s">
        <v>10</v>
      </c>
      <c r="C10" s="107">
        <f>5/100*C9</f>
        <v>50.717500000000001</v>
      </c>
      <c r="D10" s="107">
        <f t="shared" ref="D10:F10" si="1">5/100*D9</f>
        <v>58.017499999999998</v>
      </c>
      <c r="E10" s="107">
        <f t="shared" si="1"/>
        <v>60.69400000000001</v>
      </c>
      <c r="F10" s="107">
        <f t="shared" si="1"/>
        <v>35.041500000000006</v>
      </c>
      <c r="G10" s="58"/>
      <c r="H10" s="49"/>
    </row>
    <row r="11" spans="1:8" x14ac:dyDescent="0.2">
      <c r="A11" s="105">
        <v>5</v>
      </c>
      <c r="B11" s="108" t="s">
        <v>11</v>
      </c>
      <c r="C11" s="107">
        <v>4.7</v>
      </c>
      <c r="D11" s="107">
        <v>4.7</v>
      </c>
      <c r="E11" s="107">
        <v>4.7</v>
      </c>
      <c r="F11" s="107">
        <v>4.7</v>
      </c>
      <c r="G11" s="58"/>
      <c r="H11" s="7"/>
    </row>
    <row r="12" spans="1:8" x14ac:dyDescent="0.2">
      <c r="A12" s="109">
        <v>6</v>
      </c>
      <c r="B12" s="110" t="s">
        <v>12</v>
      </c>
      <c r="C12" s="107">
        <v>3</v>
      </c>
      <c r="D12" s="107">
        <v>3</v>
      </c>
      <c r="E12" s="107">
        <v>3</v>
      </c>
      <c r="F12" s="107">
        <v>2</v>
      </c>
      <c r="G12" s="60"/>
      <c r="H12" s="49"/>
    </row>
    <row r="13" spans="1:8" x14ac:dyDescent="0.2">
      <c r="A13" s="109">
        <v>7</v>
      </c>
      <c r="B13" s="110" t="s">
        <v>13</v>
      </c>
      <c r="C13" s="107">
        <v>20</v>
      </c>
      <c r="D13" s="107">
        <v>20</v>
      </c>
      <c r="E13" s="107">
        <v>20</v>
      </c>
      <c r="F13" s="107">
        <v>20</v>
      </c>
      <c r="G13" s="60"/>
    </row>
    <row r="14" spans="1:8" x14ac:dyDescent="0.2">
      <c r="A14" s="105">
        <v>8</v>
      </c>
      <c r="B14" s="108" t="s">
        <v>14</v>
      </c>
      <c r="C14" s="107">
        <v>2</v>
      </c>
      <c r="D14" s="107">
        <v>2</v>
      </c>
      <c r="E14" s="107">
        <v>2</v>
      </c>
      <c r="F14" s="107">
        <v>2</v>
      </c>
      <c r="G14" s="60"/>
    </row>
    <row r="15" spans="1:8" x14ac:dyDescent="0.2">
      <c r="A15" s="105">
        <v>9</v>
      </c>
      <c r="B15" s="108" t="s">
        <v>15</v>
      </c>
      <c r="C15" s="107">
        <v>2</v>
      </c>
      <c r="D15" s="107">
        <v>2</v>
      </c>
      <c r="E15" s="107">
        <v>2</v>
      </c>
      <c r="F15" s="107">
        <v>2</v>
      </c>
      <c r="G15" s="60"/>
    </row>
    <row r="16" spans="1:8" x14ac:dyDescent="0.2">
      <c r="A16" s="105">
        <v>10</v>
      </c>
      <c r="B16" s="108" t="s">
        <v>16</v>
      </c>
      <c r="C16" s="107">
        <v>13.48</v>
      </c>
      <c r="D16" s="107">
        <v>12.76</v>
      </c>
      <c r="E16" s="107">
        <v>13.309999999999999</v>
      </c>
      <c r="F16" s="107">
        <v>10.87</v>
      </c>
      <c r="G16" s="60"/>
      <c r="H16" s="49"/>
    </row>
    <row r="17" spans="1:9" x14ac:dyDescent="0.2">
      <c r="A17" s="105">
        <v>11</v>
      </c>
      <c r="B17" s="108" t="s">
        <v>17</v>
      </c>
      <c r="C17" s="107">
        <f>SUM(C9:C16)</f>
        <v>1110.2475000000002</v>
      </c>
      <c r="D17" s="107">
        <f t="shared" ref="D17:F17" si="2">SUM(D9:D16)</f>
        <v>1262.8274999999999</v>
      </c>
      <c r="E17" s="107">
        <f t="shared" si="2"/>
        <v>1319.5840000000001</v>
      </c>
      <c r="F17" s="107">
        <f t="shared" si="2"/>
        <v>777.44150000000013</v>
      </c>
      <c r="G17" s="60"/>
      <c r="H17" s="49"/>
    </row>
    <row r="18" spans="1:9" x14ac:dyDescent="0.2">
      <c r="A18" s="105">
        <v>12</v>
      </c>
      <c r="B18" s="108" t="s">
        <v>18</v>
      </c>
      <c r="C18" s="107">
        <v>1362</v>
      </c>
      <c r="D18" s="107">
        <v>1162.24</v>
      </c>
      <c r="E18" s="107">
        <v>1248.5</v>
      </c>
      <c r="F18" s="107">
        <v>1071.44</v>
      </c>
      <c r="G18" s="60"/>
      <c r="H18" s="49"/>
    </row>
    <row r="19" spans="1:9" x14ac:dyDescent="0.2">
      <c r="A19" s="105">
        <v>13</v>
      </c>
      <c r="B19" s="108" t="s">
        <v>19</v>
      </c>
      <c r="C19" s="107">
        <f>C17/C18</f>
        <v>0.81515969162995605</v>
      </c>
      <c r="D19" s="107">
        <f t="shared" ref="D19:F19" si="3">D17/D18</f>
        <v>1.0865462382984581</v>
      </c>
      <c r="E19" s="107">
        <f t="shared" si="3"/>
        <v>1.0569355226271526</v>
      </c>
      <c r="F19" s="107">
        <f t="shared" si="3"/>
        <v>0.72560432688717991</v>
      </c>
      <c r="G19" s="60"/>
      <c r="H19" s="49"/>
    </row>
    <row r="20" spans="1:9" x14ac:dyDescent="0.2">
      <c r="A20" s="105">
        <v>14</v>
      </c>
      <c r="B20" s="108" t="s">
        <v>20</v>
      </c>
      <c r="C20" s="111">
        <v>14.25</v>
      </c>
      <c r="D20" s="111">
        <v>14.25</v>
      </c>
      <c r="E20" s="111">
        <v>14.25</v>
      </c>
      <c r="F20" s="111">
        <v>14.25</v>
      </c>
      <c r="G20" s="60"/>
    </row>
    <row r="21" spans="1:9" x14ac:dyDescent="0.2">
      <c r="A21" s="105">
        <v>15</v>
      </c>
      <c r="B21" s="108" t="s">
        <v>21</v>
      </c>
      <c r="C21" s="107">
        <v>11.616025605726874</v>
      </c>
      <c r="D21" s="107">
        <v>15.483283895753027</v>
      </c>
      <c r="E21" s="107">
        <v>15.061331197436925</v>
      </c>
      <c r="F21" s="107">
        <v>10.339861658142313</v>
      </c>
      <c r="G21" s="60"/>
    </row>
    <row r="22" spans="1:9" x14ac:dyDescent="0.2">
      <c r="A22" s="105">
        <v>16</v>
      </c>
      <c r="B22" s="108" t="s">
        <v>22</v>
      </c>
      <c r="C22" s="107">
        <v>2.5153699999999999</v>
      </c>
      <c r="D22" s="107">
        <v>2.5174099999999999</v>
      </c>
      <c r="E22" s="107">
        <v>1.63479</v>
      </c>
      <c r="F22" s="107">
        <v>1.4169499999999999</v>
      </c>
      <c r="G22" s="60"/>
    </row>
    <row r="23" spans="1:9" x14ac:dyDescent="0.2">
      <c r="A23" s="105">
        <v>17</v>
      </c>
      <c r="B23" s="108" t="s">
        <v>23</v>
      </c>
      <c r="C23" s="107">
        <v>0.43393999999999999</v>
      </c>
      <c r="D23" s="107">
        <v>6.4360000000000001E-2</v>
      </c>
      <c r="E23" s="107">
        <v>0</v>
      </c>
      <c r="F23" s="107">
        <v>2.1241300000000001</v>
      </c>
      <c r="G23" s="60"/>
      <c r="H23" s="29"/>
    </row>
    <row r="24" spans="1:9" x14ac:dyDescent="0.2">
      <c r="A24" s="105">
        <v>18</v>
      </c>
      <c r="B24" s="108" t="s">
        <v>24</v>
      </c>
      <c r="C24" s="107">
        <v>0.15</v>
      </c>
      <c r="D24" s="107">
        <v>0.15</v>
      </c>
      <c r="E24" s="107">
        <v>0.15</v>
      </c>
      <c r="F24" s="107">
        <v>0</v>
      </c>
      <c r="G24" s="60"/>
      <c r="H24" s="29"/>
    </row>
    <row r="25" spans="1:9" x14ac:dyDescent="0.2">
      <c r="A25" s="105">
        <v>19</v>
      </c>
      <c r="B25" s="108" t="s">
        <v>25</v>
      </c>
      <c r="C25" s="107">
        <v>1.5406600000000004</v>
      </c>
      <c r="D25" s="107">
        <v>0.31125999999999998</v>
      </c>
      <c r="E25" s="107">
        <v>0.81</v>
      </c>
      <c r="F25" s="107">
        <v>4.1238999999999999</v>
      </c>
      <c r="G25" s="28"/>
    </row>
    <row r="26" spans="1:9" x14ac:dyDescent="0.2">
      <c r="A26" s="105">
        <v>20</v>
      </c>
      <c r="B26" s="108" t="s">
        <v>26</v>
      </c>
      <c r="C26" s="107">
        <v>0.49536999999999998</v>
      </c>
      <c r="D26" s="107">
        <v>0.49536999999999998</v>
      </c>
      <c r="E26" s="107">
        <v>0</v>
      </c>
      <c r="F26" s="107">
        <v>0</v>
      </c>
      <c r="G26" s="28"/>
      <c r="H26" s="49"/>
    </row>
    <row r="27" spans="1:9" x14ac:dyDescent="0.2">
      <c r="A27" s="105">
        <v>21</v>
      </c>
      <c r="B27" s="108" t="s">
        <v>27</v>
      </c>
      <c r="C27" s="107">
        <v>7.0000000000000007E-2</v>
      </c>
      <c r="D27" s="107">
        <v>7.0000000000000007E-2</v>
      </c>
      <c r="E27" s="107">
        <v>7.0000000000000007E-2</v>
      </c>
      <c r="F27" s="112">
        <v>0</v>
      </c>
      <c r="G27" s="60"/>
      <c r="H27" s="49"/>
    </row>
    <row r="28" spans="1:9" x14ac:dyDescent="0.2">
      <c r="A28" s="105">
        <v>22</v>
      </c>
      <c r="B28" s="108" t="s">
        <v>28</v>
      </c>
      <c r="C28" s="107">
        <v>0.09</v>
      </c>
      <c r="D28" s="107">
        <v>0</v>
      </c>
      <c r="E28" s="107">
        <v>0.27</v>
      </c>
      <c r="F28" s="107">
        <v>0</v>
      </c>
      <c r="G28" s="60"/>
      <c r="H28" s="61"/>
      <c r="I28" s="62"/>
    </row>
    <row r="29" spans="1:9" x14ac:dyDescent="0.2">
      <c r="A29" s="113">
        <v>23</v>
      </c>
      <c r="B29" s="108" t="s">
        <v>29</v>
      </c>
      <c r="C29" s="107">
        <v>0</v>
      </c>
      <c r="D29" s="107">
        <v>0</v>
      </c>
      <c r="E29" s="107">
        <v>0</v>
      </c>
      <c r="F29" s="107">
        <v>0</v>
      </c>
      <c r="G29" s="28"/>
      <c r="H29" s="64"/>
    </row>
    <row r="30" spans="1:9" s="98" customFormat="1" x14ac:dyDescent="0.2">
      <c r="A30" s="114">
        <v>24</v>
      </c>
      <c r="B30" s="115" t="s">
        <v>51</v>
      </c>
      <c r="C30" s="116">
        <v>18</v>
      </c>
      <c r="D30" s="116">
        <v>18</v>
      </c>
      <c r="E30" s="116">
        <f t="shared" ref="E30" si="4">SUM(E21:E29)</f>
        <v>17.996121197436921</v>
      </c>
      <c r="F30" s="116">
        <f>SUM(F21:F29)</f>
        <v>18.004841658142311</v>
      </c>
      <c r="G30" s="95"/>
      <c r="I30" s="97"/>
    </row>
    <row r="31" spans="1:9" x14ac:dyDescent="0.2">
      <c r="A31" s="117"/>
      <c r="B31" s="118"/>
      <c r="C31" s="118"/>
      <c r="D31" s="118"/>
      <c r="E31" s="118"/>
      <c r="F31" s="118"/>
    </row>
    <row r="32" spans="1:9" ht="16.5" x14ac:dyDescent="0.2">
      <c r="A32" s="172" t="s">
        <v>48</v>
      </c>
      <c r="B32" s="172"/>
      <c r="C32" s="172"/>
      <c r="D32" s="172"/>
      <c r="E32" s="172"/>
      <c r="F32" s="172"/>
    </row>
    <row r="33" spans="1:6" x14ac:dyDescent="0.2">
      <c r="A33" s="172" t="s">
        <v>40</v>
      </c>
      <c r="B33" s="172"/>
      <c r="C33" s="172"/>
      <c r="D33" s="172"/>
      <c r="E33" s="172"/>
      <c r="F33" s="172"/>
    </row>
    <row r="34" spans="1:6" x14ac:dyDescent="0.2">
      <c r="A34" s="68"/>
      <c r="B34" s="68"/>
      <c r="C34" s="68"/>
      <c r="D34" s="68"/>
      <c r="E34" s="68"/>
      <c r="F34" s="68"/>
    </row>
    <row r="35" spans="1:6" x14ac:dyDescent="0.2">
      <c r="C35" s="119">
        <f>(C10/C18)*C20</f>
        <v>0.53063463656387666</v>
      </c>
      <c r="D35" s="119">
        <f t="shared" ref="D35:F35" si="5">(D10/D18)*D20</f>
        <v>0.71134135376514307</v>
      </c>
      <c r="E35" s="119">
        <f t="shared" si="5"/>
        <v>0.69274289146976387</v>
      </c>
      <c r="F35" s="119">
        <f t="shared" si="5"/>
        <v>0.4660469788322259</v>
      </c>
    </row>
    <row r="36" spans="1:6" x14ac:dyDescent="0.2">
      <c r="C36" s="49"/>
    </row>
    <row r="37" spans="1:6" x14ac:dyDescent="0.2">
      <c r="C37" s="49"/>
    </row>
    <row r="38" spans="1:6" x14ac:dyDescent="0.2">
      <c r="C38" s="49"/>
    </row>
  </sheetData>
  <mergeCells count="3">
    <mergeCell ref="B5:F5"/>
    <mergeCell ref="A32:F32"/>
    <mergeCell ref="A33:F33"/>
  </mergeCells>
  <pageMargins left="0.5" right="0.3" top="0" bottom="0" header="0.3" footer="0.3"/>
  <pageSetup paperSize="9" scale="10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BBB3-7714-48C3-8A6E-8920113919E5}">
  <dimension ref="A1:I38"/>
  <sheetViews>
    <sheetView topLeftCell="A14" zoomScale="110" zoomScaleNormal="110" workbookViewId="0">
      <selection activeCell="K22" sqref="K22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  <col min="9" max="9" width="9.28125" bestFit="1" customWidth="1"/>
    <col min="10" max="10" width="10.4921875" customWidth="1"/>
  </cols>
  <sheetData>
    <row r="1" spans="1:8" x14ac:dyDescent="0.2">
      <c r="E1" s="49"/>
      <c r="F1" s="99"/>
      <c r="H1" s="49"/>
    </row>
    <row r="2" spans="1:8" ht="20.45" customHeight="1" x14ac:dyDescent="0.2">
      <c r="E2" s="49"/>
      <c r="F2" s="100"/>
      <c r="H2" s="49"/>
    </row>
    <row r="3" spans="1:8" ht="15.6" customHeight="1" x14ac:dyDescent="0.2">
      <c r="E3" s="49"/>
      <c r="F3" s="101"/>
      <c r="H3" s="49"/>
    </row>
    <row r="4" spans="1:8" ht="15.6" customHeight="1" x14ac:dyDescent="0.2">
      <c r="E4" s="49"/>
      <c r="F4" s="101"/>
      <c r="H4" s="49"/>
    </row>
    <row r="5" spans="1:8" ht="15.75" x14ac:dyDescent="0.2">
      <c r="A5" s="75"/>
      <c r="B5" s="173" t="s">
        <v>66</v>
      </c>
      <c r="C5" s="173"/>
      <c r="D5" s="173"/>
      <c r="E5" s="173"/>
      <c r="F5" s="173"/>
      <c r="G5" s="54"/>
      <c r="H5" s="7"/>
    </row>
    <row r="6" spans="1:8" x14ac:dyDescent="0.2">
      <c r="A6" s="76" t="s">
        <v>1</v>
      </c>
      <c r="B6" s="77" t="s">
        <v>2</v>
      </c>
      <c r="C6" s="76" t="s">
        <v>3</v>
      </c>
      <c r="D6" s="76" t="s">
        <v>4</v>
      </c>
      <c r="E6" s="76" t="s">
        <v>5</v>
      </c>
      <c r="F6" s="76" t="s">
        <v>6</v>
      </c>
      <c r="H6" s="7"/>
    </row>
    <row r="7" spans="1:8" x14ac:dyDescent="0.2">
      <c r="A7" s="102">
        <v>1</v>
      </c>
      <c r="B7" s="103" t="s">
        <v>67</v>
      </c>
      <c r="C7" s="104">
        <v>845.89</v>
      </c>
      <c r="D7" s="104">
        <v>1045.6400000000001</v>
      </c>
      <c r="E7" s="104">
        <v>1167.33</v>
      </c>
      <c r="F7" s="104">
        <v>587.41999999999996</v>
      </c>
      <c r="H7" s="49"/>
    </row>
    <row r="8" spans="1:8" x14ac:dyDescent="0.2">
      <c r="A8" s="105">
        <v>2</v>
      </c>
      <c r="B8" s="106" t="s">
        <v>8</v>
      </c>
      <c r="C8" s="107">
        <v>86.5</v>
      </c>
      <c r="D8" s="107">
        <v>148</v>
      </c>
      <c r="E8" s="107">
        <v>69</v>
      </c>
      <c r="F8" s="107">
        <v>103.5</v>
      </c>
      <c r="G8" s="58"/>
      <c r="H8" s="49"/>
    </row>
    <row r="9" spans="1:8" x14ac:dyDescent="0.2">
      <c r="A9" s="105">
        <v>3</v>
      </c>
      <c r="B9" s="108" t="s">
        <v>9</v>
      </c>
      <c r="C9" s="107">
        <f>C7+C8</f>
        <v>932.39</v>
      </c>
      <c r="D9" s="107">
        <f t="shared" ref="D9:F9" si="0">D7+D8</f>
        <v>1193.6400000000001</v>
      </c>
      <c r="E9" s="107">
        <f t="shared" si="0"/>
        <v>1236.33</v>
      </c>
      <c r="F9" s="107">
        <f t="shared" si="0"/>
        <v>690.92</v>
      </c>
      <c r="G9" s="58"/>
      <c r="H9" s="49"/>
    </row>
    <row r="10" spans="1:8" x14ac:dyDescent="0.2">
      <c r="A10" s="105">
        <v>4</v>
      </c>
      <c r="B10" s="108" t="s">
        <v>10</v>
      </c>
      <c r="C10" s="107">
        <f>5/100*C9</f>
        <v>46.619500000000002</v>
      </c>
      <c r="D10" s="107">
        <f t="shared" ref="D10:F10" si="1">5/100*D9</f>
        <v>59.682000000000009</v>
      </c>
      <c r="E10" s="107">
        <f t="shared" si="1"/>
        <v>61.816499999999998</v>
      </c>
      <c r="F10" s="107">
        <f t="shared" si="1"/>
        <v>34.545999999999999</v>
      </c>
      <c r="G10" s="58"/>
      <c r="H10" s="49"/>
    </row>
    <row r="11" spans="1:8" x14ac:dyDescent="0.2">
      <c r="A11" s="105">
        <v>5</v>
      </c>
      <c r="B11" s="108" t="s">
        <v>11</v>
      </c>
      <c r="C11" s="107">
        <v>4.7</v>
      </c>
      <c r="D11" s="107">
        <v>4.7</v>
      </c>
      <c r="E11" s="107">
        <v>4.7</v>
      </c>
      <c r="F11" s="107">
        <v>4.7</v>
      </c>
      <c r="G11" s="58"/>
      <c r="H11" s="7"/>
    </row>
    <row r="12" spans="1:8" x14ac:dyDescent="0.2">
      <c r="A12" s="109">
        <v>6</v>
      </c>
      <c r="B12" s="110" t="s">
        <v>12</v>
      </c>
      <c r="C12" s="107">
        <v>3</v>
      </c>
      <c r="D12" s="107">
        <v>3</v>
      </c>
      <c r="E12" s="107">
        <v>3</v>
      </c>
      <c r="F12" s="107">
        <v>2</v>
      </c>
      <c r="G12" s="60"/>
      <c r="H12" s="49"/>
    </row>
    <row r="13" spans="1:8" x14ac:dyDescent="0.2">
      <c r="A13" s="109">
        <v>7</v>
      </c>
      <c r="B13" s="110" t="s">
        <v>13</v>
      </c>
      <c r="C13" s="107">
        <v>20</v>
      </c>
      <c r="D13" s="107">
        <v>20</v>
      </c>
      <c r="E13" s="107">
        <v>20</v>
      </c>
      <c r="F13" s="107">
        <v>20</v>
      </c>
      <c r="G13" s="60"/>
    </row>
    <row r="14" spans="1:8" x14ac:dyDescent="0.2">
      <c r="A14" s="105">
        <v>8</v>
      </c>
      <c r="B14" s="108" t="s">
        <v>14</v>
      </c>
      <c r="C14" s="107">
        <v>2</v>
      </c>
      <c r="D14" s="107">
        <v>2</v>
      </c>
      <c r="E14" s="107">
        <v>2</v>
      </c>
      <c r="F14" s="107">
        <v>2</v>
      </c>
      <c r="G14" s="60"/>
    </row>
    <row r="15" spans="1:8" x14ac:dyDescent="0.2">
      <c r="A15" s="105">
        <v>9</v>
      </c>
      <c r="B15" s="108" t="s">
        <v>15</v>
      </c>
      <c r="C15" s="107">
        <v>2</v>
      </c>
      <c r="D15" s="107">
        <v>2</v>
      </c>
      <c r="E15" s="107">
        <v>2</v>
      </c>
      <c r="F15" s="107">
        <v>2</v>
      </c>
      <c r="G15" s="60"/>
    </row>
    <row r="16" spans="1:8" x14ac:dyDescent="0.2">
      <c r="A16" s="105">
        <v>10</v>
      </c>
      <c r="B16" s="108" t="s">
        <v>16</v>
      </c>
      <c r="C16" s="107">
        <v>13.48</v>
      </c>
      <c r="D16" s="107">
        <v>12.76</v>
      </c>
      <c r="E16" s="107">
        <v>13.309999999999999</v>
      </c>
      <c r="F16" s="107">
        <v>10.87</v>
      </c>
      <c r="G16" s="60"/>
      <c r="H16" s="49"/>
    </row>
    <row r="17" spans="1:9" x14ac:dyDescent="0.2">
      <c r="A17" s="105">
        <v>11</v>
      </c>
      <c r="B17" s="108" t="s">
        <v>17</v>
      </c>
      <c r="C17" s="107">
        <f>SUM(C9:C16)</f>
        <v>1024.1895</v>
      </c>
      <c r="D17" s="107">
        <f t="shared" ref="D17:F17" si="2">SUM(D9:D16)</f>
        <v>1297.7820000000002</v>
      </c>
      <c r="E17" s="107">
        <f t="shared" si="2"/>
        <v>1343.1564999999998</v>
      </c>
      <c r="F17" s="107">
        <f t="shared" si="2"/>
        <v>767.03600000000006</v>
      </c>
      <c r="G17" s="60"/>
      <c r="H17" s="49"/>
    </row>
    <row r="18" spans="1:9" x14ac:dyDescent="0.2">
      <c r="A18" s="105">
        <v>12</v>
      </c>
      <c r="B18" s="108" t="s">
        <v>18</v>
      </c>
      <c r="C18" s="107">
        <v>1362</v>
      </c>
      <c r="D18" s="107">
        <v>1162.24</v>
      </c>
      <c r="E18" s="107">
        <v>1248.5</v>
      </c>
      <c r="F18" s="107">
        <v>1071.44</v>
      </c>
      <c r="G18" s="60"/>
      <c r="H18" s="49"/>
    </row>
    <row r="19" spans="1:9" x14ac:dyDescent="0.2">
      <c r="A19" s="105">
        <v>13</v>
      </c>
      <c r="B19" s="108" t="s">
        <v>19</v>
      </c>
      <c r="C19" s="107">
        <f>C17/C18</f>
        <v>0.75197466960352422</v>
      </c>
      <c r="D19" s="107">
        <f t="shared" ref="D19:F19" si="3">D17/D18</f>
        <v>1.1166213518722468</v>
      </c>
      <c r="E19" s="107">
        <f t="shared" si="3"/>
        <v>1.0758161794152983</v>
      </c>
      <c r="F19" s="107">
        <f t="shared" si="3"/>
        <v>0.71589263047860829</v>
      </c>
      <c r="G19" s="60"/>
      <c r="H19" s="49"/>
    </row>
    <row r="20" spans="1:9" x14ac:dyDescent="0.2">
      <c r="A20" s="105">
        <v>14</v>
      </c>
      <c r="B20" s="108" t="s">
        <v>63</v>
      </c>
      <c r="C20" s="111">
        <v>14.27</v>
      </c>
      <c r="D20" s="111">
        <v>14.27</v>
      </c>
      <c r="E20" s="111">
        <v>14.27</v>
      </c>
      <c r="F20" s="111">
        <v>14.27</v>
      </c>
      <c r="G20" s="60"/>
    </row>
    <row r="21" spans="1:9" x14ac:dyDescent="0.2">
      <c r="A21" s="105">
        <v>15</v>
      </c>
      <c r="B21" s="108" t="s">
        <v>21</v>
      </c>
      <c r="C21" s="107">
        <f>C20*C19</f>
        <v>10.730678535242291</v>
      </c>
      <c r="D21" s="107">
        <f t="shared" ref="D21:F21" si="4">D20*D19</f>
        <v>15.934186691216961</v>
      </c>
      <c r="E21" s="107">
        <f t="shared" si="4"/>
        <v>15.351896880256305</v>
      </c>
      <c r="F21" s="107">
        <f t="shared" si="4"/>
        <v>10.21578783692974</v>
      </c>
      <c r="G21" s="60"/>
    </row>
    <row r="22" spans="1:9" x14ac:dyDescent="0.2">
      <c r="A22" s="105">
        <v>16</v>
      </c>
      <c r="B22" s="108" t="s">
        <v>22</v>
      </c>
      <c r="C22" s="107">
        <v>2.5153699999999999</v>
      </c>
      <c r="D22" s="107">
        <v>2.5174099999999999</v>
      </c>
      <c r="E22" s="107">
        <v>1.63479</v>
      </c>
      <c r="F22" s="107">
        <v>1.4169499999999999</v>
      </c>
      <c r="G22" s="60"/>
    </row>
    <row r="23" spans="1:9" x14ac:dyDescent="0.2">
      <c r="A23" s="105">
        <v>17</v>
      </c>
      <c r="B23" s="108" t="s">
        <v>23</v>
      </c>
      <c r="C23" s="107">
        <v>0.43393999999999999</v>
      </c>
      <c r="D23" s="107">
        <v>6.4360000000000001E-2</v>
      </c>
      <c r="E23" s="107">
        <v>0.27000000000000013</v>
      </c>
      <c r="F23" s="107">
        <v>2.1241300000000001</v>
      </c>
      <c r="G23" s="60"/>
      <c r="H23" s="29"/>
    </row>
    <row r="24" spans="1:9" x14ac:dyDescent="0.2">
      <c r="A24" s="105">
        <v>18</v>
      </c>
      <c r="B24" s="108" t="s">
        <v>24</v>
      </c>
      <c r="C24" s="107">
        <v>0.15</v>
      </c>
      <c r="D24" s="107">
        <v>0.15</v>
      </c>
      <c r="E24" s="107">
        <v>0.15</v>
      </c>
      <c r="F24" s="107">
        <v>0</v>
      </c>
      <c r="G24" s="60"/>
      <c r="H24" s="29"/>
    </row>
    <row r="25" spans="1:9" x14ac:dyDescent="0.2">
      <c r="A25" s="105">
        <v>19</v>
      </c>
      <c r="B25" s="108" t="s">
        <v>25</v>
      </c>
      <c r="C25" s="107">
        <v>1.5406600000000004</v>
      </c>
      <c r="D25" s="107">
        <v>0.31125999999999998</v>
      </c>
      <c r="E25" s="107">
        <v>0.81</v>
      </c>
      <c r="F25" s="107">
        <v>4.1238999999999999</v>
      </c>
      <c r="G25" s="28"/>
    </row>
    <row r="26" spans="1:9" x14ac:dyDescent="0.2">
      <c r="A26" s="105">
        <v>20</v>
      </c>
      <c r="B26" s="108" t="s">
        <v>26</v>
      </c>
      <c r="C26" s="107">
        <v>0.49536999999999998</v>
      </c>
      <c r="D26" s="107">
        <v>0.49536999999999998</v>
      </c>
      <c r="E26" s="107">
        <v>0</v>
      </c>
      <c r="F26" s="107">
        <v>0</v>
      </c>
      <c r="G26" s="28"/>
      <c r="H26" s="49"/>
    </row>
    <row r="27" spans="1:9" x14ac:dyDescent="0.2">
      <c r="A27" s="105">
        <v>21</v>
      </c>
      <c r="B27" s="108" t="s">
        <v>27</v>
      </c>
      <c r="C27" s="107">
        <v>7.0000000000000007E-2</v>
      </c>
      <c r="D27" s="107">
        <v>7.0000000000000007E-2</v>
      </c>
      <c r="E27" s="107">
        <v>7.0000000000000007E-2</v>
      </c>
      <c r="F27" s="112">
        <v>0</v>
      </c>
      <c r="G27" s="60"/>
      <c r="H27" s="49"/>
    </row>
    <row r="28" spans="1:9" x14ac:dyDescent="0.2">
      <c r="A28" s="105">
        <v>22</v>
      </c>
      <c r="B28" s="108" t="s">
        <v>28</v>
      </c>
      <c r="C28" s="107">
        <v>0.09</v>
      </c>
      <c r="D28" s="107">
        <v>0</v>
      </c>
      <c r="E28" s="107">
        <v>0</v>
      </c>
      <c r="F28" s="107">
        <v>0</v>
      </c>
      <c r="G28" s="60"/>
      <c r="H28" s="61"/>
      <c r="I28" s="62"/>
    </row>
    <row r="29" spans="1:9" x14ac:dyDescent="0.2">
      <c r="A29" s="113">
        <v>23</v>
      </c>
      <c r="B29" s="108" t="s">
        <v>29</v>
      </c>
      <c r="C29" s="107">
        <v>0</v>
      </c>
      <c r="D29" s="107">
        <v>0</v>
      </c>
      <c r="E29" s="107">
        <v>0</v>
      </c>
      <c r="F29" s="107">
        <v>0</v>
      </c>
      <c r="G29" s="28"/>
      <c r="H29" s="64"/>
    </row>
    <row r="30" spans="1:9" s="98" customFormat="1" x14ac:dyDescent="0.2">
      <c r="A30" s="114">
        <v>24</v>
      </c>
      <c r="B30" s="115" t="s">
        <v>51</v>
      </c>
      <c r="C30" s="116">
        <v>18</v>
      </c>
      <c r="D30" s="116">
        <v>18</v>
      </c>
      <c r="E30" s="116">
        <v>18</v>
      </c>
      <c r="F30" s="116">
        <v>18</v>
      </c>
      <c r="G30" s="95"/>
      <c r="I30" s="97"/>
    </row>
    <row r="31" spans="1:9" x14ac:dyDescent="0.2">
      <c r="A31" s="117"/>
      <c r="B31" s="118"/>
      <c r="C31" s="118"/>
      <c r="D31" s="118"/>
      <c r="E31" s="118"/>
      <c r="F31" s="118"/>
    </row>
    <row r="32" spans="1:9" ht="16.5" x14ac:dyDescent="0.2">
      <c r="A32" s="172" t="s">
        <v>48</v>
      </c>
      <c r="B32" s="172"/>
      <c r="C32" s="172"/>
      <c r="D32" s="172"/>
      <c r="E32" s="172"/>
      <c r="F32" s="172"/>
    </row>
    <row r="33" spans="1:6" x14ac:dyDescent="0.2">
      <c r="A33" s="172" t="s">
        <v>40</v>
      </c>
      <c r="B33" s="172"/>
      <c r="C33" s="172"/>
      <c r="D33" s="172"/>
      <c r="E33" s="172"/>
      <c r="F33" s="172"/>
    </row>
    <row r="34" spans="1:6" x14ac:dyDescent="0.2">
      <c r="A34" s="68"/>
      <c r="B34" s="68"/>
      <c r="C34" s="68"/>
      <c r="D34" s="68"/>
      <c r="E34" s="68"/>
      <c r="F34" s="68"/>
    </row>
    <row r="35" spans="1:6" x14ac:dyDescent="0.2">
      <c r="C35" s="119">
        <f>(C10/C18)*C20</f>
        <v>0.48844366005873718</v>
      </c>
      <c r="D35" s="119">
        <f t="shared" ref="D35:F35" si="5">(D10/D18)*D20</f>
        <v>0.73277648334251111</v>
      </c>
      <c r="E35" s="119">
        <f t="shared" si="5"/>
        <v>0.70654501802162584</v>
      </c>
      <c r="F35" s="119">
        <f t="shared" si="5"/>
        <v>0.46010175091465683</v>
      </c>
    </row>
    <row r="36" spans="1:6" x14ac:dyDescent="0.2">
      <c r="C36" s="49"/>
    </row>
    <row r="37" spans="1:6" x14ac:dyDescent="0.2">
      <c r="C37" s="49"/>
    </row>
    <row r="38" spans="1:6" x14ac:dyDescent="0.2">
      <c r="C38" s="49"/>
    </row>
  </sheetData>
  <mergeCells count="3">
    <mergeCell ref="B5:F5"/>
    <mergeCell ref="A32:F32"/>
    <mergeCell ref="A33:F33"/>
  </mergeCells>
  <pageMargins left="0.5" right="0.3" top="0" bottom="0" header="0.3" footer="0.3"/>
  <pageSetup paperSize="9" scale="10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5C52-A0A4-4152-9CFF-0ED5F7A84CF7}">
  <dimension ref="A1:I49"/>
  <sheetViews>
    <sheetView zoomScaleNormal="100" workbookViewId="0">
      <selection activeCell="G22" sqref="G22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68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69</v>
      </c>
      <c r="C6" s="129">
        <v>837.43</v>
      </c>
      <c r="D6" s="129">
        <v>955.05</v>
      </c>
      <c r="E6" s="129">
        <v>1008.18</v>
      </c>
      <c r="F6" s="129">
        <v>543.63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923.93</v>
      </c>
      <c r="D8" s="132">
        <f>D6+D7</f>
        <v>1103.05</v>
      </c>
      <c r="E8" s="132">
        <f>E6+E7</f>
        <v>1077.1799999999998</v>
      </c>
      <c r="F8" s="132">
        <f>F6+F7</f>
        <v>647.13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46.1965</v>
      </c>
      <c r="D9" s="132">
        <f>D8*5%</f>
        <v>55.152500000000003</v>
      </c>
      <c r="E9" s="132">
        <f>E8*5%</f>
        <v>53.858999999999995</v>
      </c>
      <c r="F9" s="132">
        <f>F8*5%</f>
        <v>32.356500000000004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1015.3065</v>
      </c>
      <c r="D16" s="132">
        <f>SUM(D8:D15)</f>
        <v>1202.6624999999999</v>
      </c>
      <c r="E16" s="132">
        <f>SUM(E8:E15)</f>
        <v>1176.0489999999998</v>
      </c>
      <c r="F16" s="132">
        <f>SUM(F8:F15)</f>
        <v>721.05650000000003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0.74545264317180615</v>
      </c>
      <c r="D18" s="132">
        <f>D16/D17</f>
        <v>1.0347798217235682</v>
      </c>
      <c r="E18" s="132">
        <f>E16/E17</f>
        <v>0.94196956347617122</v>
      </c>
      <c r="F18" s="132">
        <f>F16/F17</f>
        <v>0.67297888822519225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16.600000000000001</v>
      </c>
      <c r="D19" s="140">
        <v>16.600000000000001</v>
      </c>
      <c r="E19" s="140">
        <v>16.600000000000001</v>
      </c>
      <c r="F19" s="140">
        <v>16.600000000000001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12.374513876651983</v>
      </c>
      <c r="D20" s="132">
        <f>D18*D19</f>
        <v>17.177345040611232</v>
      </c>
      <c r="E20" s="132">
        <f>E18*E19</f>
        <v>15.636694753704443</v>
      </c>
      <c r="F20" s="132">
        <f>F18*F19</f>
        <v>11.171449544538193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f>1.91741+0.2+0.4</f>
        <v>2.5174099999999999</v>
      </c>
      <c r="E21" s="132">
        <v>1.63479</v>
      </c>
      <c r="F21" s="132">
        <v>1.4169499999999999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6.4360000000000001E-2</v>
      </c>
      <c r="E22" s="132">
        <v>0</v>
      </c>
      <c r="F22" s="132">
        <f>5.30413-0.8-1.38-1.02+0.02+0.12-0.59</f>
        <v>1.6541300000000003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0.1</v>
      </c>
      <c r="D24" s="132">
        <v>0.1</v>
      </c>
      <c r="E24" s="132">
        <f>0.81-0.02-0.18-0.1</f>
        <v>0.51000000000000012</v>
      </c>
      <c r="F24" s="132">
        <f>4.1239-0.37</f>
        <v>3.7538999999999998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v>0.12</v>
      </c>
      <c r="D25" s="132">
        <v>0.16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0</v>
      </c>
      <c r="D27" s="132">
        <v>0</v>
      </c>
      <c r="E27" s="132">
        <f>0.29-0.02-0.27</f>
        <v>0</v>
      </c>
      <c r="F27" s="132">
        <v>0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v>18</v>
      </c>
      <c r="D29" s="150">
        <v>18</v>
      </c>
      <c r="E29" s="150">
        <f>SUM(E20:E28)</f>
        <v>18.001484753704442</v>
      </c>
      <c r="F29" s="150">
        <f>SUM(F20:F28)</f>
        <v>17.996429544538195</v>
      </c>
      <c r="G29" s="133"/>
      <c r="H29" s="144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8" hidden="1" x14ac:dyDescent="0.25">
      <c r="A31" s="174"/>
      <c r="B31" s="174"/>
      <c r="C31" s="174"/>
      <c r="D31" s="174"/>
      <c r="E31" s="174"/>
      <c r="F31" s="174"/>
      <c r="G31" s="37"/>
    </row>
    <row r="32" spans="1:8" s="36" customFormat="1" hidden="1" x14ac:dyDescent="0.2">
      <c r="A32" s="39" t="s">
        <v>31</v>
      </c>
      <c r="B32" s="40"/>
      <c r="C32" s="39" t="s">
        <v>31</v>
      </c>
      <c r="D32" s="40"/>
      <c r="E32" s="41"/>
      <c r="F32" s="41"/>
      <c r="G32" s="37"/>
    </row>
    <row r="33" spans="1:7" s="36" customFormat="1" ht="14.25" hidden="1" customHeight="1" x14ac:dyDescent="0.2">
      <c r="A33" s="39" t="s">
        <v>32</v>
      </c>
      <c r="B33" s="40"/>
      <c r="C33" s="39" t="s">
        <v>33</v>
      </c>
      <c r="D33" s="40"/>
      <c r="E33" s="41"/>
      <c r="F33" s="41"/>
      <c r="G33" s="37"/>
    </row>
    <row r="34" spans="1:7" s="36" customFormat="1" ht="14.25" hidden="1" customHeight="1" x14ac:dyDescent="0.2">
      <c r="A34" s="42"/>
      <c r="B34" s="40"/>
      <c r="C34" s="42"/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39" t="s">
        <v>31</v>
      </c>
      <c r="B36" s="40"/>
      <c r="C36" s="39" t="s">
        <v>31</v>
      </c>
      <c r="D36" s="40"/>
      <c r="E36" s="41"/>
      <c r="F36" s="41"/>
      <c r="G36" s="37"/>
    </row>
    <row r="37" spans="1:7" s="36" customFormat="1" ht="14.25" hidden="1" customHeight="1" x14ac:dyDescent="0.2">
      <c r="A37" s="39" t="s">
        <v>34</v>
      </c>
      <c r="B37" s="40"/>
      <c r="C37" s="39" t="s">
        <v>35</v>
      </c>
      <c r="D37" s="40"/>
      <c r="E37" s="41"/>
      <c r="F37" s="41"/>
      <c r="G37" s="37"/>
    </row>
    <row r="38" spans="1:7" s="36" customFormat="1" ht="14.25" hidden="1" customHeight="1" x14ac:dyDescent="0.2">
      <c r="A38" s="42"/>
      <c r="B38" s="40"/>
      <c r="C38" s="42"/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39" t="s">
        <v>36</v>
      </c>
      <c r="B40" s="40"/>
      <c r="C40" s="39" t="s">
        <v>36</v>
      </c>
      <c r="D40" s="40"/>
      <c r="E40" s="41"/>
      <c r="F40" s="41"/>
      <c r="G40" s="37"/>
    </row>
    <row r="41" spans="1:7" s="36" customFormat="1" ht="14.25" hidden="1" customHeight="1" x14ac:dyDescent="0.2">
      <c r="A41" s="39" t="s">
        <v>37</v>
      </c>
      <c r="B41" s="40"/>
      <c r="C41" s="39" t="s">
        <v>38</v>
      </c>
      <c r="D41" s="40"/>
      <c r="E41" s="41"/>
      <c r="F41" s="41"/>
      <c r="G41" s="37"/>
    </row>
    <row r="42" spans="1:7" ht="14.25" hidden="1" customHeight="1" x14ac:dyDescent="0.2">
      <c r="A42" s="43"/>
      <c r="B42" s="36"/>
      <c r="C42" s="43"/>
      <c r="D42" s="43"/>
      <c r="E42" s="37"/>
      <c r="F42" s="37"/>
      <c r="G42" s="38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 t="s">
        <v>36</v>
      </c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53</v>
      </c>
      <c r="B45" s="36"/>
      <c r="C45" s="43"/>
      <c r="D45" s="43"/>
      <c r="E45" s="37"/>
      <c r="F45" s="37"/>
      <c r="G45" s="38"/>
    </row>
    <row r="46" spans="1:7" ht="14.25" customHeight="1" x14ac:dyDescent="0.2">
      <c r="A46" s="44"/>
      <c r="B46" s="170" t="s">
        <v>39</v>
      </c>
      <c r="C46" s="170"/>
      <c r="D46" s="170"/>
      <c r="E46" s="170"/>
      <c r="F46" s="45"/>
      <c r="G46" s="38"/>
    </row>
    <row r="47" spans="1:7" ht="14.25" customHeight="1" x14ac:dyDescent="0.2">
      <c r="A47" s="6"/>
      <c r="B47" s="171" t="s">
        <v>40</v>
      </c>
      <c r="C47" s="171"/>
      <c r="D47" s="171"/>
      <c r="E47" s="171"/>
      <c r="F47" s="6"/>
      <c r="G47" s="38"/>
    </row>
    <row r="48" spans="1:7" ht="14.25" customHeight="1" x14ac:dyDescent="0.2">
      <c r="A48" s="6"/>
      <c r="B48" s="46"/>
      <c r="C48" s="46"/>
      <c r="D48" s="46"/>
      <c r="E48" s="46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</sheetData>
  <mergeCells count="4">
    <mergeCell ref="B4:F4"/>
    <mergeCell ref="A31:F31"/>
    <mergeCell ref="B46:E46"/>
    <mergeCell ref="B47:E47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D3F0-5EA2-4BF4-B16C-73A3BFA520D9}">
  <dimension ref="A1:I49"/>
  <sheetViews>
    <sheetView topLeftCell="A19" zoomScaleNormal="100" workbookViewId="0">
      <selection activeCell="A31" sqref="A31:F31"/>
    </sheetView>
  </sheetViews>
  <sheetFormatPr defaultRowHeight="15" x14ac:dyDescent="0.2"/>
  <cols>
    <col min="1" max="1" width="9.81640625" style="1" customWidth="1"/>
    <col min="2" max="2" width="60.398437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ht="26.25" customHeight="1" x14ac:dyDescent="0.2">
      <c r="A4" s="3"/>
      <c r="B4" s="169" t="s">
        <v>70</v>
      </c>
      <c r="C4" s="169"/>
      <c r="D4" s="169"/>
      <c r="E4" s="169"/>
      <c r="F4" s="169"/>
      <c r="G4" s="4"/>
      <c r="I4" s="49"/>
    </row>
    <row r="5" spans="1:9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  <c r="I5" s="49"/>
    </row>
    <row r="6" spans="1:9" ht="20.25" customHeight="1" x14ac:dyDescent="0.2">
      <c r="A6" s="151">
        <v>1</v>
      </c>
      <c r="B6" s="156" t="s">
        <v>69</v>
      </c>
      <c r="C6" s="157">
        <v>837.43</v>
      </c>
      <c r="D6" s="157">
        <v>955.05</v>
      </c>
      <c r="E6" s="157">
        <v>1008.18</v>
      </c>
      <c r="F6" s="157">
        <v>543.63</v>
      </c>
      <c r="G6" s="6"/>
      <c r="H6" s="7"/>
      <c r="I6" s="49"/>
    </row>
    <row r="7" spans="1:9" x14ac:dyDescent="0.2">
      <c r="A7" s="11">
        <v>2</v>
      </c>
      <c r="B7" s="158" t="s">
        <v>8</v>
      </c>
      <c r="C7" s="159">
        <v>86.5</v>
      </c>
      <c r="D7" s="159">
        <v>148</v>
      </c>
      <c r="E7" s="159">
        <f>63+6</f>
        <v>69</v>
      </c>
      <c r="F7" s="159">
        <v>103.5</v>
      </c>
      <c r="G7" s="14"/>
      <c r="H7" s="7"/>
    </row>
    <row r="8" spans="1:9" x14ac:dyDescent="0.2">
      <c r="A8" s="15">
        <v>3</v>
      </c>
      <c r="B8" s="160" t="s">
        <v>9</v>
      </c>
      <c r="C8" s="159">
        <f>C6+C7</f>
        <v>923.93</v>
      </c>
      <c r="D8" s="159">
        <f>D6+D7</f>
        <v>1103.05</v>
      </c>
      <c r="E8" s="159">
        <f>E6+E7</f>
        <v>1077.1799999999998</v>
      </c>
      <c r="F8" s="159">
        <f>F6+F7</f>
        <v>647.13</v>
      </c>
      <c r="G8" s="14"/>
      <c r="H8" s="7"/>
      <c r="I8" s="7"/>
    </row>
    <row r="9" spans="1:9" x14ac:dyDescent="0.2">
      <c r="A9" s="15">
        <v>4</v>
      </c>
      <c r="B9" s="160" t="s">
        <v>10</v>
      </c>
      <c r="C9" s="159">
        <f>C8*5%</f>
        <v>46.1965</v>
      </c>
      <c r="D9" s="159">
        <f>D8*5%</f>
        <v>55.152500000000003</v>
      </c>
      <c r="E9" s="159">
        <f>E8*5%</f>
        <v>53.858999999999995</v>
      </c>
      <c r="F9" s="159">
        <f>F8*5%</f>
        <v>32.356500000000004</v>
      </c>
      <c r="G9" s="14"/>
      <c r="H9" s="49"/>
      <c r="I9" s="7"/>
    </row>
    <row r="10" spans="1:9" x14ac:dyDescent="0.2">
      <c r="A10" s="15">
        <v>5</v>
      </c>
      <c r="B10" s="160" t="s">
        <v>11</v>
      </c>
      <c r="C10" s="159">
        <v>4.7</v>
      </c>
      <c r="D10" s="159">
        <v>4.7</v>
      </c>
      <c r="E10" s="159">
        <v>4.7</v>
      </c>
      <c r="F10" s="159">
        <v>4.7</v>
      </c>
      <c r="G10" s="14"/>
      <c r="H10" s="49"/>
      <c r="I10" s="7"/>
    </row>
    <row r="11" spans="1:9" x14ac:dyDescent="0.2">
      <c r="A11" s="18">
        <v>6</v>
      </c>
      <c r="B11" s="161" t="s">
        <v>12</v>
      </c>
      <c r="C11" s="159">
        <v>3</v>
      </c>
      <c r="D11" s="159">
        <v>3</v>
      </c>
      <c r="E11" s="159">
        <v>3</v>
      </c>
      <c r="F11" s="159">
        <v>2</v>
      </c>
      <c r="G11" s="14"/>
    </row>
    <row r="12" spans="1:9" x14ac:dyDescent="0.2">
      <c r="A12" s="18">
        <v>7</v>
      </c>
      <c r="B12" s="161" t="s">
        <v>13</v>
      </c>
      <c r="C12" s="159">
        <v>20</v>
      </c>
      <c r="D12" s="159">
        <v>20</v>
      </c>
      <c r="E12" s="159">
        <v>20</v>
      </c>
      <c r="F12" s="159">
        <v>20</v>
      </c>
      <c r="G12" s="14"/>
    </row>
    <row r="13" spans="1:9" x14ac:dyDescent="0.2">
      <c r="A13" s="15">
        <v>8</v>
      </c>
      <c r="B13" s="160" t="s">
        <v>14</v>
      </c>
      <c r="C13" s="159">
        <v>2</v>
      </c>
      <c r="D13" s="159">
        <v>2</v>
      </c>
      <c r="E13" s="159">
        <v>2</v>
      </c>
      <c r="F13" s="159">
        <v>2</v>
      </c>
      <c r="G13" s="14"/>
      <c r="H13" s="49"/>
    </row>
    <row r="14" spans="1:9" x14ac:dyDescent="0.2">
      <c r="A14" s="15">
        <v>9</v>
      </c>
      <c r="B14" s="160" t="s">
        <v>15</v>
      </c>
      <c r="C14" s="159">
        <v>2</v>
      </c>
      <c r="D14" s="159">
        <v>2</v>
      </c>
      <c r="E14" s="159">
        <v>2</v>
      </c>
      <c r="F14" s="159">
        <v>2</v>
      </c>
      <c r="G14" s="14"/>
    </row>
    <row r="15" spans="1:9" x14ac:dyDescent="0.2">
      <c r="A15" s="15">
        <v>10</v>
      </c>
      <c r="B15" s="160" t="s">
        <v>16</v>
      </c>
      <c r="C15" s="159">
        <f>5.68+7.8</f>
        <v>13.48</v>
      </c>
      <c r="D15" s="159">
        <f>4.96+7.8</f>
        <v>12.76</v>
      </c>
      <c r="E15" s="159">
        <f>5.51+7.8</f>
        <v>13.309999999999999</v>
      </c>
      <c r="F15" s="159">
        <f>3.07+7.8</f>
        <v>10.87</v>
      </c>
      <c r="G15" s="14"/>
    </row>
    <row r="16" spans="1:9" x14ac:dyDescent="0.2">
      <c r="A16" s="15">
        <v>11</v>
      </c>
      <c r="B16" s="160" t="s">
        <v>17</v>
      </c>
      <c r="C16" s="159">
        <f>SUM(C8:C15)</f>
        <v>1015.3065</v>
      </c>
      <c r="D16" s="159">
        <f>SUM(D8:D15)</f>
        <v>1202.6624999999999</v>
      </c>
      <c r="E16" s="159">
        <f>SUM(E8:E15)</f>
        <v>1176.0489999999998</v>
      </c>
      <c r="F16" s="159">
        <f>SUM(F8:F15)</f>
        <v>721.05650000000003</v>
      </c>
      <c r="G16" s="14"/>
    </row>
    <row r="17" spans="1:8" x14ac:dyDescent="0.2">
      <c r="A17" s="15">
        <v>12</v>
      </c>
      <c r="B17" s="160" t="s">
        <v>18</v>
      </c>
      <c r="C17" s="159">
        <v>1362</v>
      </c>
      <c r="D17" s="159">
        <v>1162.24</v>
      </c>
      <c r="E17" s="159">
        <v>1248.5</v>
      </c>
      <c r="F17" s="159">
        <v>1071.44</v>
      </c>
      <c r="G17" s="14"/>
    </row>
    <row r="18" spans="1:8" x14ac:dyDescent="0.2">
      <c r="A18" s="15">
        <v>13</v>
      </c>
      <c r="B18" s="160" t="s">
        <v>19</v>
      </c>
      <c r="C18" s="159">
        <f>C16/C17</f>
        <v>0.74545264317180615</v>
      </c>
      <c r="D18" s="159">
        <f>D16/D17</f>
        <v>1.0347798217235682</v>
      </c>
      <c r="E18" s="159">
        <f>E16/E17</f>
        <v>0.94196956347617122</v>
      </c>
      <c r="F18" s="159">
        <f>F16/F17</f>
        <v>0.67297888822519225</v>
      </c>
      <c r="G18" s="14"/>
    </row>
    <row r="19" spans="1:8" ht="17.25" customHeight="1" x14ac:dyDescent="0.2">
      <c r="A19" s="152">
        <v>14</v>
      </c>
      <c r="B19" s="162" t="s">
        <v>20</v>
      </c>
      <c r="C19" s="163">
        <v>16.600000000000001</v>
      </c>
      <c r="D19" s="163">
        <v>16.600000000000001</v>
      </c>
      <c r="E19" s="163">
        <v>16.600000000000001</v>
      </c>
      <c r="F19" s="163">
        <v>16.600000000000001</v>
      </c>
      <c r="G19" s="14"/>
    </row>
    <row r="20" spans="1:8" x14ac:dyDescent="0.2">
      <c r="A20" s="15">
        <v>15</v>
      </c>
      <c r="B20" s="158" t="s">
        <v>21</v>
      </c>
      <c r="C20" s="159">
        <f>C18*C19</f>
        <v>12.374513876651983</v>
      </c>
      <c r="D20" s="159">
        <f t="shared" ref="D20:F20" si="0">D18*D19</f>
        <v>17.177345040611232</v>
      </c>
      <c r="E20" s="159">
        <f t="shared" si="0"/>
        <v>15.636694753704443</v>
      </c>
      <c r="F20" s="159">
        <f t="shared" si="0"/>
        <v>11.171449544538193</v>
      </c>
      <c r="G20" s="14"/>
    </row>
    <row r="21" spans="1:8" x14ac:dyDescent="0.2">
      <c r="A21" s="15">
        <v>16</v>
      </c>
      <c r="B21" s="158" t="s">
        <v>22</v>
      </c>
      <c r="C21" s="159">
        <f>(1465.37+350+50+50+100+100+400)/1000</f>
        <v>2.5153699999999999</v>
      </c>
      <c r="D21" s="159">
        <v>2.52</v>
      </c>
      <c r="E21" s="159">
        <v>2.52</v>
      </c>
      <c r="F21" s="159">
        <v>2.52</v>
      </c>
      <c r="G21" s="14"/>
    </row>
    <row r="22" spans="1:8" x14ac:dyDescent="0.2">
      <c r="A22" s="153">
        <v>17</v>
      </c>
      <c r="B22" s="158" t="s">
        <v>23</v>
      </c>
      <c r="C22" s="159">
        <f>(281.38+152.56)/1000</f>
        <v>0.43393999999999999</v>
      </c>
      <c r="D22" s="159">
        <f>(281.38+152.56)/1000</f>
        <v>0.43393999999999999</v>
      </c>
      <c r="E22" s="159">
        <f>(407.97-393.52+1871.55)/1000</f>
        <v>1.8859999999999999</v>
      </c>
      <c r="F22" s="159">
        <f>(405.48+1832.03+3066.62)/1000</f>
        <v>5.3041299999999998</v>
      </c>
      <c r="G22" s="14"/>
    </row>
    <row r="23" spans="1:8" x14ac:dyDescent="0.2">
      <c r="A23" s="15">
        <v>18</v>
      </c>
      <c r="B23" s="158" t="s">
        <v>24</v>
      </c>
      <c r="C23" s="159">
        <f>(55/1000)+(95/1000)</f>
        <v>0.15</v>
      </c>
      <c r="D23" s="159">
        <f t="shared" ref="D23:E23" si="1">(55/1000)+(95/1000)</f>
        <v>0.15</v>
      </c>
      <c r="E23" s="159">
        <f t="shared" si="1"/>
        <v>0.15</v>
      </c>
      <c r="F23" s="159">
        <v>0</v>
      </c>
      <c r="G23" s="14"/>
    </row>
    <row r="24" spans="1:8" x14ac:dyDescent="0.2">
      <c r="A24" s="15">
        <v>19</v>
      </c>
      <c r="B24" s="158" t="s">
        <v>25</v>
      </c>
      <c r="C24" s="159">
        <v>2.6706600000000003</v>
      </c>
      <c r="D24" s="159">
        <f>826.37/1000</f>
        <v>0.82637000000000005</v>
      </c>
      <c r="E24" s="159">
        <f>(1207.67/1000)-(393.52/1000)</f>
        <v>0.81415000000000004</v>
      </c>
      <c r="F24" s="159">
        <f>(2291.87/1000)+(1832.03/1000)</f>
        <v>4.1238999999999999</v>
      </c>
      <c r="G24" s="27"/>
      <c r="H24" s="28"/>
    </row>
    <row r="25" spans="1:8" x14ac:dyDescent="0.2">
      <c r="A25" s="15">
        <v>20</v>
      </c>
      <c r="B25" s="158" t="s">
        <v>26</v>
      </c>
      <c r="C25" s="159">
        <f>495.37/1000</f>
        <v>0.49536999999999998</v>
      </c>
      <c r="D25" s="159">
        <f>495.37/1000</f>
        <v>0.49536999999999998</v>
      </c>
      <c r="E25" s="159">
        <v>0</v>
      </c>
      <c r="F25" s="159">
        <v>0</v>
      </c>
      <c r="G25" s="27"/>
      <c r="H25" s="29"/>
    </row>
    <row r="26" spans="1:8" x14ac:dyDescent="0.2">
      <c r="A26" s="15">
        <v>21</v>
      </c>
      <c r="B26" s="158" t="s">
        <v>27</v>
      </c>
      <c r="C26" s="159">
        <f>70/1000</f>
        <v>7.0000000000000007E-2</v>
      </c>
      <c r="D26" s="159">
        <f t="shared" ref="D26:E26" si="2">70/1000</f>
        <v>7.0000000000000007E-2</v>
      </c>
      <c r="E26" s="159">
        <f t="shared" si="2"/>
        <v>7.0000000000000007E-2</v>
      </c>
      <c r="F26" s="164">
        <v>0</v>
      </c>
      <c r="G26" s="14"/>
    </row>
    <row r="27" spans="1:8" s="32" customFormat="1" x14ac:dyDescent="0.2">
      <c r="A27" s="153">
        <v>22</v>
      </c>
      <c r="B27" s="158" t="s">
        <v>28</v>
      </c>
      <c r="C27" s="159">
        <v>1</v>
      </c>
      <c r="D27" s="159">
        <v>1</v>
      </c>
      <c r="E27" s="159">
        <v>1</v>
      </c>
      <c r="F27" s="159">
        <v>1</v>
      </c>
      <c r="G27" s="31"/>
    </row>
    <row r="28" spans="1:8" x14ac:dyDescent="0.2">
      <c r="A28" s="15">
        <v>23</v>
      </c>
      <c r="B28" s="158" t="s">
        <v>29</v>
      </c>
      <c r="C28" s="159">
        <v>0</v>
      </c>
      <c r="D28" s="159">
        <f>-1480.44+1480.44</f>
        <v>0</v>
      </c>
      <c r="E28" s="159">
        <f>-1509.91+220.98+1288.93</f>
        <v>0</v>
      </c>
      <c r="F28" s="159">
        <v>0</v>
      </c>
      <c r="G28" s="27"/>
      <c r="H28" s="28"/>
    </row>
    <row r="29" spans="1:8" ht="18" customHeight="1" x14ac:dyDescent="0.2">
      <c r="A29" s="154">
        <v>24</v>
      </c>
      <c r="B29" s="34" t="s">
        <v>55</v>
      </c>
      <c r="C29" s="155">
        <f>SUM(C20:C28)</f>
        <v>19.709853876651984</v>
      </c>
      <c r="D29" s="155">
        <f>SUM(D20:D28)</f>
        <v>22.673025040611233</v>
      </c>
      <c r="E29" s="155">
        <f>SUM(E20:E28)</f>
        <v>22.076844753704442</v>
      </c>
      <c r="F29" s="155">
        <f>SUM(F20:F28)</f>
        <v>24.119479544538191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8" x14ac:dyDescent="0.25">
      <c r="A31" s="174" t="s">
        <v>56</v>
      </c>
      <c r="B31" s="174"/>
      <c r="C31" s="174"/>
      <c r="D31" s="174"/>
      <c r="E31" s="174"/>
      <c r="F31" s="174"/>
      <c r="G31" s="37"/>
    </row>
    <row r="32" spans="1:8" s="36" customFormat="1" hidden="1" x14ac:dyDescent="0.2">
      <c r="A32" s="39" t="s">
        <v>31</v>
      </c>
      <c r="B32" s="40"/>
      <c r="C32" s="39" t="s">
        <v>31</v>
      </c>
      <c r="D32" s="40"/>
      <c r="E32" s="41"/>
      <c r="F32" s="41"/>
      <c r="G32" s="37"/>
    </row>
    <row r="33" spans="1:7" s="36" customFormat="1" ht="14.25" hidden="1" customHeight="1" x14ac:dyDescent="0.2">
      <c r="A33" s="39" t="s">
        <v>32</v>
      </c>
      <c r="B33" s="40"/>
      <c r="C33" s="39" t="s">
        <v>33</v>
      </c>
      <c r="D33" s="40"/>
      <c r="E33" s="41"/>
      <c r="F33" s="41"/>
      <c r="G33" s="37"/>
    </row>
    <row r="34" spans="1:7" s="36" customFormat="1" ht="14.25" hidden="1" customHeight="1" x14ac:dyDescent="0.2">
      <c r="A34" s="42"/>
      <c r="B34" s="40"/>
      <c r="C34" s="42"/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39" t="s">
        <v>31</v>
      </c>
      <c r="B36" s="40"/>
      <c r="C36" s="39" t="s">
        <v>31</v>
      </c>
      <c r="D36" s="40"/>
      <c r="E36" s="41"/>
      <c r="F36" s="41"/>
      <c r="G36" s="37"/>
    </row>
    <row r="37" spans="1:7" s="36" customFormat="1" ht="14.25" hidden="1" customHeight="1" x14ac:dyDescent="0.2">
      <c r="A37" s="39" t="s">
        <v>34</v>
      </c>
      <c r="B37" s="40"/>
      <c r="C37" s="39" t="s">
        <v>35</v>
      </c>
      <c r="D37" s="40"/>
      <c r="E37" s="41"/>
      <c r="F37" s="41"/>
      <c r="G37" s="37"/>
    </row>
    <row r="38" spans="1:7" s="36" customFormat="1" ht="14.25" hidden="1" customHeight="1" x14ac:dyDescent="0.2">
      <c r="A38" s="42"/>
      <c r="B38" s="40"/>
      <c r="C38" s="42"/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39" t="s">
        <v>36</v>
      </c>
      <c r="B40" s="40"/>
      <c r="C40" s="39" t="s">
        <v>36</v>
      </c>
      <c r="D40" s="40"/>
      <c r="E40" s="41"/>
      <c r="F40" s="41"/>
      <c r="G40" s="37"/>
    </row>
    <row r="41" spans="1:7" s="36" customFormat="1" ht="14.25" hidden="1" customHeight="1" x14ac:dyDescent="0.2">
      <c r="A41" s="39" t="s">
        <v>37</v>
      </c>
      <c r="B41" s="40"/>
      <c r="C41" s="39" t="s">
        <v>38</v>
      </c>
      <c r="D41" s="40"/>
      <c r="E41" s="41"/>
      <c r="F41" s="41"/>
      <c r="G41" s="37"/>
    </row>
    <row r="42" spans="1:7" ht="14.25" hidden="1" customHeight="1" x14ac:dyDescent="0.2">
      <c r="A42" s="43"/>
      <c r="B42" s="36"/>
      <c r="C42" s="43"/>
      <c r="D42" s="43"/>
      <c r="E42" s="37"/>
      <c r="F42" s="37"/>
      <c r="G42" s="38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 t="s">
        <v>36</v>
      </c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53</v>
      </c>
      <c r="B45" s="36"/>
      <c r="C45" s="43"/>
      <c r="D45" s="43"/>
      <c r="E45" s="37"/>
      <c r="F45" s="37"/>
      <c r="G45" s="38"/>
    </row>
    <row r="46" spans="1:7" ht="14.25" customHeight="1" x14ac:dyDescent="0.2">
      <c r="A46" s="44"/>
      <c r="B46" s="170" t="s">
        <v>39</v>
      </c>
      <c r="C46" s="170"/>
      <c r="D46" s="170"/>
      <c r="E46" s="170"/>
      <c r="F46" s="45"/>
      <c r="G46" s="38"/>
    </row>
    <row r="47" spans="1:7" ht="14.25" customHeight="1" x14ac:dyDescent="0.2">
      <c r="A47" s="6"/>
      <c r="B47" s="171" t="s">
        <v>40</v>
      </c>
      <c r="C47" s="171"/>
      <c r="D47" s="171"/>
      <c r="E47" s="171"/>
      <c r="F47" s="6"/>
      <c r="G47" s="38"/>
    </row>
    <row r="48" spans="1:7" ht="14.25" customHeight="1" x14ac:dyDescent="0.2">
      <c r="A48" s="6"/>
      <c r="B48" s="46"/>
      <c r="C48" s="46"/>
      <c r="D48" s="46"/>
      <c r="E48" s="46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</sheetData>
  <mergeCells count="4">
    <mergeCell ref="B4:F4"/>
    <mergeCell ref="A31:F31"/>
    <mergeCell ref="B46:E46"/>
    <mergeCell ref="B47:E47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1524-286A-4B7C-902F-8440C111AE0E}">
  <dimension ref="A1:I50"/>
  <sheetViews>
    <sheetView zoomScaleNormal="100" workbookViewId="0">
      <selection activeCell="E25" sqref="E25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71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72</v>
      </c>
      <c r="C6" s="129">
        <v>880</v>
      </c>
      <c r="D6" s="129">
        <v>1086.1400000000001</v>
      </c>
      <c r="E6" s="129">
        <v>1129.6400000000001</v>
      </c>
      <c r="F6" s="129">
        <v>551.08000000000004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966.5</v>
      </c>
      <c r="D8" s="132">
        <f>D6+D7</f>
        <v>1234.1400000000001</v>
      </c>
      <c r="E8" s="132">
        <f>E6+E7</f>
        <v>1198.6400000000001</v>
      </c>
      <c r="F8" s="132">
        <f>F6+F7</f>
        <v>654.58000000000004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48.325000000000003</v>
      </c>
      <c r="D9" s="132">
        <f>D8*5%</f>
        <v>61.707000000000008</v>
      </c>
      <c r="E9" s="132">
        <f>E8*5%</f>
        <v>59.932000000000009</v>
      </c>
      <c r="F9" s="132">
        <f>F8*5%</f>
        <v>32.729000000000006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1060.0050000000001</v>
      </c>
      <c r="D16" s="132">
        <f>SUM(D8:D15)</f>
        <v>1340.3070000000002</v>
      </c>
      <c r="E16" s="132">
        <f>SUM(E8:E15)</f>
        <v>1303.5820000000001</v>
      </c>
      <c r="F16" s="132">
        <f>SUM(F8:F15)</f>
        <v>728.87900000000013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0.77827092511013218</v>
      </c>
      <c r="D18" s="132">
        <f>D16/D17</f>
        <v>1.1532101803414099</v>
      </c>
      <c r="E18" s="132">
        <f>E16/E17</f>
        <v>1.0441185422507009</v>
      </c>
      <c r="F18" s="132">
        <f>F16/F17</f>
        <v>0.68027981034868967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17</v>
      </c>
      <c r="D19" s="140">
        <v>17</v>
      </c>
      <c r="E19" s="140">
        <v>17</v>
      </c>
      <c r="F19" s="140">
        <v>17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13.230605726872247</v>
      </c>
      <c r="D20" s="132">
        <f>D18*D19</f>
        <v>19.604573065803969</v>
      </c>
      <c r="E20" s="132">
        <f>E18*E19</f>
        <v>17.750015218261915</v>
      </c>
      <c r="F20" s="132">
        <f>F18*F19</f>
        <v>11.564756775927725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1.63</v>
      </c>
      <c r="F21" s="132">
        <v>1.42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0.06</v>
      </c>
      <c r="E22" s="132">
        <v>0</v>
      </c>
      <c r="F22" s="132">
        <v>3.26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0.24</v>
      </c>
      <c r="D24" s="132">
        <v>0.1</v>
      </c>
      <c r="E24" s="132">
        <v>0.4</v>
      </c>
      <c r="F24" s="132">
        <v>3.7542499999999999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f>0.49537+0.2</f>
        <v>0.69537000000000004</v>
      </c>
      <c r="D25" s="132">
        <v>0.16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0</v>
      </c>
      <c r="D27" s="132">
        <v>0</v>
      </c>
      <c r="E27" s="132">
        <v>0</v>
      </c>
      <c r="F27" s="132">
        <v>0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f>SUM(C20:C28)</f>
        <v>17.335285726872243</v>
      </c>
      <c r="D29" s="150">
        <f t="shared" ref="D29:F29" si="0">SUM(D20:D28)</f>
        <v>22.664573065803967</v>
      </c>
      <c r="E29" s="150">
        <f t="shared" si="0"/>
        <v>20.000015218261911</v>
      </c>
      <c r="F29" s="150">
        <f t="shared" si="0"/>
        <v>19.999006775927725</v>
      </c>
      <c r="G29" s="133"/>
      <c r="H29" s="144"/>
    </row>
    <row r="30" spans="1:8" s="167" customFormat="1" ht="18" customHeight="1" x14ac:dyDescent="0.15">
      <c r="A30" s="168"/>
      <c r="B30" s="168"/>
      <c r="C30" s="168"/>
      <c r="D30" s="168"/>
      <c r="E30" s="168"/>
      <c r="F30" s="168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4">
    <mergeCell ref="B4:F4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9A51-66B3-4517-BEF1-B2DCD9207FA4}">
  <dimension ref="A1:I50"/>
  <sheetViews>
    <sheetView topLeftCell="A23" zoomScaleNormal="100" workbookViewId="0">
      <selection activeCell="B6" sqref="B6:F6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71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72</v>
      </c>
      <c r="C6" s="129">
        <v>880</v>
      </c>
      <c r="D6" s="129">
        <v>1086.1400000000001</v>
      </c>
      <c r="E6" s="129">
        <v>1129.6400000000001</v>
      </c>
      <c r="F6" s="129">
        <v>551.08000000000004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966.5</v>
      </c>
      <c r="D8" s="132">
        <f>D6+D7</f>
        <v>1234.1400000000001</v>
      </c>
      <c r="E8" s="132">
        <f>E6+E7</f>
        <v>1198.6400000000001</v>
      </c>
      <c r="F8" s="132">
        <f>F6+F7</f>
        <v>654.58000000000004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48.325000000000003</v>
      </c>
      <c r="D9" s="132">
        <f>D8*5%</f>
        <v>61.707000000000008</v>
      </c>
      <c r="E9" s="132">
        <f>E8*5%</f>
        <v>59.932000000000009</v>
      </c>
      <c r="F9" s="132">
        <f>F8*5%</f>
        <v>32.729000000000006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1060.0050000000001</v>
      </c>
      <c r="D16" s="132">
        <f>SUM(D8:D15)</f>
        <v>1340.3070000000002</v>
      </c>
      <c r="E16" s="132">
        <f>SUM(E8:E15)</f>
        <v>1303.5820000000001</v>
      </c>
      <c r="F16" s="132">
        <f>SUM(F8:F15)</f>
        <v>728.87900000000013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0.77827092511013218</v>
      </c>
      <c r="D18" s="132">
        <f>D16/D17</f>
        <v>1.1532101803414099</v>
      </c>
      <c r="E18" s="132">
        <f>E16/E17</f>
        <v>1.0441185422507009</v>
      </c>
      <c r="F18" s="132">
        <f>F16/F17</f>
        <v>0.68027981034868967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17</v>
      </c>
      <c r="D19" s="140">
        <v>17</v>
      </c>
      <c r="E19" s="140">
        <v>17</v>
      </c>
      <c r="F19" s="140">
        <v>17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13.230605726872247</v>
      </c>
      <c r="D20" s="132">
        <f>D18*D19</f>
        <v>19.604573065803969</v>
      </c>
      <c r="E20" s="132">
        <f>E18*E19</f>
        <v>17.750015218261915</v>
      </c>
      <c r="F20" s="132">
        <f>F18*F19</f>
        <v>11.564756775927725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2.52</v>
      </c>
      <c r="F21" s="132">
        <v>2.52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0.43393999999999999</v>
      </c>
      <c r="E22" s="132">
        <v>1.8859999999999999</v>
      </c>
      <c r="F22" s="132">
        <v>5.3041299999999998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2.6706600000000003</v>
      </c>
      <c r="D24" s="132">
        <v>0.82637000000000005</v>
      </c>
      <c r="E24" s="132">
        <v>0.81415000000000004</v>
      </c>
      <c r="F24" s="132">
        <v>4.1238999999999999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v>0.49536999999999998</v>
      </c>
      <c r="D25" s="132">
        <v>0.49536999999999998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1</v>
      </c>
      <c r="D27" s="132">
        <v>1</v>
      </c>
      <c r="E27" s="132">
        <v>1</v>
      </c>
      <c r="F27" s="132">
        <v>1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f>SUM(C20:C28)</f>
        <v>20.565945726872247</v>
      </c>
      <c r="D29" s="150">
        <f t="shared" ref="D29:F29" si="0">SUM(D20:D28)</f>
        <v>25.100253065803969</v>
      </c>
      <c r="E29" s="150">
        <f t="shared" si="0"/>
        <v>24.190165218261914</v>
      </c>
      <c r="F29" s="150">
        <f t="shared" si="0"/>
        <v>24.512786775927722</v>
      </c>
      <c r="G29" s="133"/>
      <c r="H29" s="144"/>
    </row>
    <row r="30" spans="1:8" s="167" customFormat="1" ht="18" customHeight="1" x14ac:dyDescent="0.15">
      <c r="A30" s="175" t="s">
        <v>56</v>
      </c>
      <c r="B30" s="175"/>
      <c r="C30" s="175"/>
      <c r="D30" s="175"/>
      <c r="E30" s="175"/>
      <c r="F30" s="175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5">
    <mergeCell ref="B4:F4"/>
    <mergeCell ref="A32:F32"/>
    <mergeCell ref="B47:E47"/>
    <mergeCell ref="B48:E48"/>
    <mergeCell ref="A30:F30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A0BB-7A07-45CC-8355-7113F747AF80}">
  <dimension ref="A1:I50"/>
  <sheetViews>
    <sheetView topLeftCell="A15" zoomScaleNormal="100" workbookViewId="0">
      <selection activeCell="F25" sqref="F25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75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73</v>
      </c>
      <c r="C6" s="129">
        <v>919</v>
      </c>
      <c r="D6" s="129">
        <v>1031.3</v>
      </c>
      <c r="E6" s="129">
        <v>1048.27</v>
      </c>
      <c r="F6" s="129">
        <v>541.14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1005.5</v>
      </c>
      <c r="D8" s="132">
        <f>D6+D7</f>
        <v>1179.3</v>
      </c>
      <c r="E8" s="132">
        <f>E6+E7</f>
        <v>1117.27</v>
      </c>
      <c r="F8" s="132">
        <f>F6+F7</f>
        <v>644.64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50.275000000000006</v>
      </c>
      <c r="D9" s="132">
        <f>D8*5%</f>
        <v>58.965000000000003</v>
      </c>
      <c r="E9" s="132">
        <f>E8*5%</f>
        <v>55.863500000000002</v>
      </c>
      <c r="F9" s="132">
        <f>F8*5%</f>
        <v>32.231999999999999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1100.9550000000002</v>
      </c>
      <c r="D16" s="132">
        <f>SUM(D8:D15)</f>
        <v>1282.7249999999999</v>
      </c>
      <c r="E16" s="132">
        <f>SUM(E8:E15)</f>
        <v>1218.1434999999999</v>
      </c>
      <c r="F16" s="132">
        <f>SUM(F8:F15)</f>
        <v>718.44200000000001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0.80833700440528644</v>
      </c>
      <c r="D18" s="132">
        <f>D16/D17</f>
        <v>1.1036661963105725</v>
      </c>
      <c r="E18" s="132">
        <f>E16/E17</f>
        <v>0.97568562274729664</v>
      </c>
      <c r="F18" s="132">
        <f>F16/F17</f>
        <v>0.67053871425371459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17.5</v>
      </c>
      <c r="D19" s="140">
        <v>17.5</v>
      </c>
      <c r="E19" s="140">
        <v>17.5</v>
      </c>
      <c r="F19" s="140">
        <v>17.5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14.145897577092512</v>
      </c>
      <c r="D20" s="132">
        <f>D18*D19</f>
        <v>19.314158435435019</v>
      </c>
      <c r="E20" s="132">
        <f>E18*E19</f>
        <v>17.07449839807769</v>
      </c>
      <c r="F20" s="132">
        <f>F18*F19</f>
        <v>11.734427499440006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1.63</v>
      </c>
      <c r="F21" s="132">
        <v>1.42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0.15</v>
      </c>
      <c r="D22" s="132">
        <v>0.06</v>
      </c>
      <c r="E22" s="132">
        <v>0</v>
      </c>
      <c r="F22" s="132">
        <v>3.26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  <c r="H23" s="144">
        <f>F24-3.58</f>
        <v>4.249999999999865E-3</v>
      </c>
    </row>
    <row r="24" spans="1:8" s="122" customFormat="1" x14ac:dyDescent="0.15">
      <c r="A24" s="134">
        <v>19</v>
      </c>
      <c r="B24" s="131" t="s">
        <v>25</v>
      </c>
      <c r="C24" s="132">
        <v>0.1</v>
      </c>
      <c r="D24" s="132">
        <v>0.1</v>
      </c>
      <c r="E24" s="132">
        <v>1.074568</v>
      </c>
      <c r="F24" s="132">
        <f>3.75425-0.17</f>
        <v>3.5842499999999999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f>0.49537+0.2-0.2</f>
        <v>0.49537000000000003</v>
      </c>
      <c r="D25" s="132">
        <v>0.16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0</v>
      </c>
      <c r="D27" s="132">
        <v>0</v>
      </c>
      <c r="E27" s="132">
        <v>0</v>
      </c>
      <c r="F27" s="132">
        <v>0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v>20</v>
      </c>
      <c r="D29" s="150">
        <v>20</v>
      </c>
      <c r="E29" s="150">
        <f t="shared" ref="D29:F29" si="0">SUM(E20:E28)</f>
        <v>19.999066398077687</v>
      </c>
      <c r="F29" s="150">
        <f t="shared" si="0"/>
        <v>19.998677499440006</v>
      </c>
      <c r="G29" s="133"/>
      <c r="H29" s="144"/>
    </row>
    <row r="30" spans="1:8" s="167" customFormat="1" ht="18" customHeight="1" x14ac:dyDescent="0.15">
      <c r="A30" s="168"/>
      <c r="B30" s="168"/>
      <c r="C30" s="168"/>
      <c r="D30" s="168"/>
      <c r="E30" s="168"/>
      <c r="F30" s="168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4">
    <mergeCell ref="B4:F4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1F71-C755-49C5-87E9-D9ED8EB1C7E1}">
  <dimension ref="A1:I50"/>
  <sheetViews>
    <sheetView topLeftCell="A9" zoomScaleNormal="100" workbookViewId="0">
      <selection activeCell="B6" sqref="B6:F6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74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73</v>
      </c>
      <c r="C6" s="129">
        <v>919</v>
      </c>
      <c r="D6" s="129">
        <v>1031.3</v>
      </c>
      <c r="E6" s="129">
        <v>1048.27</v>
      </c>
      <c r="F6" s="129">
        <v>541.14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1005.5</v>
      </c>
      <c r="D8" s="132">
        <f>D6+D7</f>
        <v>1179.3</v>
      </c>
      <c r="E8" s="132">
        <f>E6+E7</f>
        <v>1117.27</v>
      </c>
      <c r="F8" s="132">
        <f>F6+F7</f>
        <v>644.64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50.275000000000006</v>
      </c>
      <c r="D9" s="132">
        <f>D8*5%</f>
        <v>58.965000000000003</v>
      </c>
      <c r="E9" s="132">
        <f>E8*5%</f>
        <v>55.863500000000002</v>
      </c>
      <c r="F9" s="132">
        <f>F8*5%</f>
        <v>32.231999999999999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1100.9550000000002</v>
      </c>
      <c r="D16" s="132">
        <f>SUM(D8:D15)</f>
        <v>1282.7249999999999</v>
      </c>
      <c r="E16" s="132">
        <f>SUM(E8:E15)</f>
        <v>1218.1434999999999</v>
      </c>
      <c r="F16" s="132">
        <f>SUM(F8:F15)</f>
        <v>718.44200000000001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0.80833700440528644</v>
      </c>
      <c r="D18" s="132">
        <f>D16/D17</f>
        <v>1.1036661963105725</v>
      </c>
      <c r="E18" s="132">
        <f>E16/E17</f>
        <v>0.97568562274729664</v>
      </c>
      <c r="F18" s="132">
        <f>F16/F17</f>
        <v>0.67053871425371459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17.5</v>
      </c>
      <c r="D19" s="140">
        <v>17.5</v>
      </c>
      <c r="E19" s="140">
        <v>17.5</v>
      </c>
      <c r="F19" s="140">
        <v>17.5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14.145897577092512</v>
      </c>
      <c r="D20" s="132">
        <f>D18*D19</f>
        <v>19.314158435435019</v>
      </c>
      <c r="E20" s="132">
        <f>E18*E19</f>
        <v>17.07449839807769</v>
      </c>
      <c r="F20" s="132">
        <f>F18*F19</f>
        <v>11.734427499440006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2.52</v>
      </c>
      <c r="F21" s="132">
        <v>2.52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0.43393999999999999</v>
      </c>
      <c r="E22" s="132">
        <v>1.8859999999999999</v>
      </c>
      <c r="F22" s="132">
        <v>5.3041299999999998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2.6706600000000003</v>
      </c>
      <c r="D24" s="132">
        <v>0.82637000000000005</v>
      </c>
      <c r="E24" s="132">
        <v>0.81415000000000004</v>
      </c>
      <c r="F24" s="132">
        <v>4.1238999999999999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v>0.49536999999999998</v>
      </c>
      <c r="D25" s="132">
        <v>0.49536999999999998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1</v>
      </c>
      <c r="D27" s="132">
        <v>1</v>
      </c>
      <c r="E27" s="132">
        <v>1</v>
      </c>
      <c r="F27" s="132">
        <v>1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f>SUM(C20:C28)</f>
        <v>21.481237577092514</v>
      </c>
      <c r="D29" s="150">
        <f t="shared" ref="D29:F29" si="0">SUM(D20:D28)</f>
        <v>24.809838435435019</v>
      </c>
      <c r="E29" s="150">
        <f t="shared" si="0"/>
        <v>23.514648398077689</v>
      </c>
      <c r="F29" s="150">
        <f t="shared" si="0"/>
        <v>24.682457499440005</v>
      </c>
      <c r="G29" s="133"/>
      <c r="H29" s="144"/>
    </row>
    <row r="30" spans="1:8" s="167" customFormat="1" ht="18" customHeight="1" x14ac:dyDescent="0.15">
      <c r="A30" s="175" t="s">
        <v>56</v>
      </c>
      <c r="B30" s="175"/>
      <c r="C30" s="175"/>
      <c r="D30" s="175"/>
      <c r="E30" s="175"/>
      <c r="F30" s="175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5">
    <mergeCell ref="B4:F4"/>
    <mergeCell ref="A30:F30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588A-F4B4-4A10-9EA6-944325F20A65}">
  <dimension ref="A1:I50"/>
  <sheetViews>
    <sheetView zoomScaleNormal="100" workbookViewId="0">
      <selection activeCell="G12" sqref="G12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76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77</v>
      </c>
      <c r="C6" s="129">
        <v>981.69</v>
      </c>
      <c r="D6" s="129">
        <v>980.92</v>
      </c>
      <c r="E6" s="129">
        <v>1111.97</v>
      </c>
      <c r="F6" s="129">
        <v>534.69000000000005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1068.19</v>
      </c>
      <c r="D8" s="132">
        <f>D6+D7</f>
        <v>1128.92</v>
      </c>
      <c r="E8" s="132">
        <f>E6+E7</f>
        <v>1180.97</v>
      </c>
      <c r="F8" s="132">
        <f>F6+F7</f>
        <v>638.19000000000005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53.409500000000008</v>
      </c>
      <c r="D9" s="132">
        <f>D8*5%</f>
        <v>56.446000000000005</v>
      </c>
      <c r="E9" s="132">
        <f>E8*5%</f>
        <v>59.048500000000004</v>
      </c>
      <c r="F9" s="132">
        <f>F8*5%</f>
        <v>31.909500000000005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1166.7795000000001</v>
      </c>
      <c r="D16" s="132">
        <f>SUM(D8:D15)</f>
        <v>1229.826</v>
      </c>
      <c r="E16" s="132">
        <f>SUM(E8:E15)</f>
        <v>1285.0285000000001</v>
      </c>
      <c r="F16" s="132">
        <f>SUM(F8:F15)</f>
        <v>711.66950000000008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0.85666629955947149</v>
      </c>
      <c r="D18" s="132">
        <f>D16/D17</f>
        <v>1.0581515005506608</v>
      </c>
      <c r="E18" s="132">
        <f>E16/E17</f>
        <v>1.0292579094913898</v>
      </c>
      <c r="F18" s="132">
        <f>F16/F17</f>
        <v>0.66421778167699552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18.5</v>
      </c>
      <c r="D19" s="140">
        <v>18.5</v>
      </c>
      <c r="E19" s="140">
        <v>18.5</v>
      </c>
      <c r="F19" s="140">
        <v>18.5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15.848326541850222</v>
      </c>
      <c r="D20" s="132">
        <f>D18*D19</f>
        <v>19.575802760187223</v>
      </c>
      <c r="E20" s="132">
        <f>E18*E19</f>
        <v>19.041271325590714</v>
      </c>
      <c r="F20" s="132">
        <f>F18*F19</f>
        <v>12.288028961024418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1.63</v>
      </c>
      <c r="F21" s="132">
        <v>1.42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0.15</v>
      </c>
      <c r="D22" s="132">
        <v>0.06</v>
      </c>
      <c r="E22" s="132">
        <v>0</v>
      </c>
      <c r="F22" s="132">
        <v>3.26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  <c r="H23" s="144"/>
    </row>
    <row r="24" spans="1:8" s="122" customFormat="1" x14ac:dyDescent="0.15">
      <c r="A24" s="134">
        <v>19</v>
      </c>
      <c r="B24" s="131" t="s">
        <v>25</v>
      </c>
      <c r="C24" s="132">
        <f>0.1+0.04</f>
        <v>0.14000000000000001</v>
      </c>
      <c r="D24" s="132">
        <v>0.1</v>
      </c>
      <c r="E24" s="132">
        <f>1.074568-0.97</f>
        <v>0.10456799999999999</v>
      </c>
      <c r="F24" s="132">
        <f>3.75425-0.17-0.55</f>
        <v>3.0342500000000001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f>0.49537+0.2-0.2</f>
        <v>0.49537000000000003</v>
      </c>
      <c r="D25" s="132">
        <v>0.16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0</v>
      </c>
      <c r="D27" s="132">
        <v>0</v>
      </c>
      <c r="E27" s="132">
        <v>0</v>
      </c>
      <c r="F27" s="132">
        <v>0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v>21</v>
      </c>
      <c r="D29" s="150">
        <v>21</v>
      </c>
      <c r="E29" s="150">
        <f t="shared" ref="E29:F29" si="0">SUM(E20:E28)</f>
        <v>20.995839325590712</v>
      </c>
      <c r="F29" s="150">
        <f t="shared" si="0"/>
        <v>20.002278961024416</v>
      </c>
      <c r="G29" s="133"/>
      <c r="H29" s="144"/>
    </row>
    <row r="30" spans="1:8" s="167" customFormat="1" ht="18" customHeight="1" x14ac:dyDescent="0.15">
      <c r="A30" s="168"/>
      <c r="B30" s="168"/>
      <c r="C30" s="168"/>
      <c r="D30" s="168"/>
      <c r="E30" s="168"/>
      <c r="F30" s="168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4">
    <mergeCell ref="B4:F4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9F3C-70D0-4630-8C8C-878B7242AA94}">
  <dimension ref="A1:I50"/>
  <sheetViews>
    <sheetView zoomScaleNormal="100" workbookViewId="0">
      <selection activeCell="M5" sqref="M5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81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77</v>
      </c>
      <c r="C6" s="129">
        <v>981.69</v>
      </c>
      <c r="D6" s="129">
        <v>980.92</v>
      </c>
      <c r="E6" s="129">
        <v>1111.97</v>
      </c>
      <c r="F6" s="129">
        <v>534.69000000000005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1068.19</v>
      </c>
      <c r="D8" s="132">
        <f>D6+D7</f>
        <v>1128.92</v>
      </c>
      <c r="E8" s="132">
        <f>E6+E7</f>
        <v>1180.97</v>
      </c>
      <c r="F8" s="132">
        <f>F6+F7</f>
        <v>638.19000000000005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53.409500000000008</v>
      </c>
      <c r="D9" s="132">
        <f>D8*5%</f>
        <v>56.446000000000005</v>
      </c>
      <c r="E9" s="132">
        <f>E8*5%</f>
        <v>59.048500000000004</v>
      </c>
      <c r="F9" s="132">
        <f>F8*5%</f>
        <v>31.909500000000005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1166.7795000000001</v>
      </c>
      <c r="D16" s="132">
        <f>SUM(D8:D15)</f>
        <v>1229.826</v>
      </c>
      <c r="E16" s="132">
        <f>SUM(E8:E15)</f>
        <v>1285.0285000000001</v>
      </c>
      <c r="F16" s="132">
        <f>SUM(F8:F15)</f>
        <v>711.66950000000008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0.85666629955947149</v>
      </c>
      <c r="D18" s="132">
        <f>D16/D17</f>
        <v>1.0581515005506608</v>
      </c>
      <c r="E18" s="132">
        <f>E16/E17</f>
        <v>1.0292579094913898</v>
      </c>
      <c r="F18" s="132">
        <f>F16/F17</f>
        <v>0.66421778167699552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18.5</v>
      </c>
      <c r="D19" s="140">
        <v>18.5</v>
      </c>
      <c r="E19" s="140">
        <v>18.5</v>
      </c>
      <c r="F19" s="140">
        <v>18.5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15.848326541850222</v>
      </c>
      <c r="D20" s="132">
        <f>D18*D19</f>
        <v>19.575802760187223</v>
      </c>
      <c r="E20" s="132">
        <f>E18*E19</f>
        <v>19.041271325590714</v>
      </c>
      <c r="F20" s="132">
        <f>F18*F19</f>
        <v>12.288028961024418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2.52</v>
      </c>
      <c r="F21" s="132">
        <v>2.52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0.43393999999999999</v>
      </c>
      <c r="E22" s="132">
        <v>1.8859999999999999</v>
      </c>
      <c r="F22" s="132">
        <v>5.3041299999999998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2.6706600000000003</v>
      </c>
      <c r="D24" s="132">
        <v>0.82637000000000005</v>
      </c>
      <c r="E24" s="132">
        <v>0.81415000000000004</v>
      </c>
      <c r="F24" s="132">
        <v>4.1238999999999999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v>0.49536999999999998</v>
      </c>
      <c r="D25" s="132">
        <v>0.49536999999999998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1</v>
      </c>
      <c r="D27" s="132">
        <v>1</v>
      </c>
      <c r="E27" s="132">
        <v>1</v>
      </c>
      <c r="F27" s="132">
        <v>1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f>SUM(C20:C28)</f>
        <v>23.183666541850222</v>
      </c>
      <c r="D29" s="150">
        <f t="shared" ref="D29:F29" si="0">SUM(D20:D28)</f>
        <v>25.071482760187223</v>
      </c>
      <c r="E29" s="150">
        <f t="shared" si="0"/>
        <v>25.481421325590713</v>
      </c>
      <c r="F29" s="150">
        <f t="shared" si="0"/>
        <v>25.236058961024415</v>
      </c>
      <c r="G29" s="133"/>
      <c r="H29" s="144"/>
    </row>
    <row r="30" spans="1:8" s="167" customFormat="1" ht="18" customHeight="1" x14ac:dyDescent="0.15">
      <c r="A30" s="175" t="s">
        <v>56</v>
      </c>
      <c r="B30" s="175"/>
      <c r="C30" s="175"/>
      <c r="D30" s="175"/>
      <c r="E30" s="175"/>
      <c r="F30" s="175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5">
    <mergeCell ref="B4:F4"/>
    <mergeCell ref="A30:F30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F71A-F549-4858-8FDB-B4C2EF1F76B8}">
  <dimension ref="A1:H46"/>
  <sheetViews>
    <sheetView topLeftCell="A10" zoomScaleNormal="100" workbookViewId="0">
      <selection activeCell="E29" sqref="E29"/>
    </sheetView>
  </sheetViews>
  <sheetFormatPr defaultRowHeight="15" x14ac:dyDescent="0.2"/>
  <cols>
    <col min="1" max="1" width="9.81640625" style="1" customWidth="1"/>
    <col min="2" max="2" width="61.33984375" customWidth="1"/>
    <col min="3" max="5" width="17.75390625" customWidth="1"/>
    <col min="6" max="6" width="16.41015625" customWidth="1"/>
    <col min="7" max="7" width="22.05859375" customWidth="1"/>
  </cols>
  <sheetData>
    <row r="1" spans="1:8" x14ac:dyDescent="0.2">
      <c r="F1" s="2"/>
    </row>
    <row r="2" spans="1:8" x14ac:dyDescent="0.2">
      <c r="F2" s="2"/>
    </row>
    <row r="3" spans="1:8" x14ac:dyDescent="0.2">
      <c r="F3" s="2"/>
    </row>
    <row r="4" spans="1:8" ht="26.25" customHeight="1" x14ac:dyDescent="0.2">
      <c r="A4" s="3"/>
      <c r="B4" s="169" t="s">
        <v>43</v>
      </c>
      <c r="C4" s="169"/>
      <c r="D4" s="169"/>
      <c r="E4" s="169"/>
      <c r="F4" s="169"/>
      <c r="G4" s="4"/>
    </row>
    <row r="5" spans="1:8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</row>
    <row r="6" spans="1:8" ht="20.25" customHeight="1" x14ac:dyDescent="0.2">
      <c r="A6" s="8">
        <v>1</v>
      </c>
      <c r="B6" s="9" t="s">
        <v>44</v>
      </c>
      <c r="C6" s="10">
        <v>900.16</v>
      </c>
      <c r="D6" s="10">
        <v>803.7</v>
      </c>
      <c r="E6" s="10">
        <v>872.03</v>
      </c>
      <c r="F6" s="10">
        <v>597.30999999999995</v>
      </c>
      <c r="G6" s="6"/>
      <c r="H6" s="7"/>
    </row>
    <row r="7" spans="1:8" x14ac:dyDescent="0.2">
      <c r="A7" s="11">
        <v>2</v>
      </c>
      <c r="B7" s="12" t="s">
        <v>8</v>
      </c>
      <c r="C7" s="13">
        <v>86.5</v>
      </c>
      <c r="D7" s="13">
        <f>63+22</f>
        <v>85</v>
      </c>
      <c r="E7" s="13">
        <f>63+6</f>
        <v>69</v>
      </c>
      <c r="F7" s="13">
        <f>81.5+17</f>
        <v>98.5</v>
      </c>
      <c r="G7" s="14"/>
      <c r="H7" s="7"/>
    </row>
    <row r="8" spans="1:8" x14ac:dyDescent="0.2">
      <c r="A8" s="15">
        <v>3</v>
      </c>
      <c r="B8" s="16" t="s">
        <v>9</v>
      </c>
      <c r="C8" s="17">
        <f>C6+C7</f>
        <v>986.66</v>
      </c>
      <c r="D8" s="17">
        <f>D6+D7</f>
        <v>888.7</v>
      </c>
      <c r="E8" s="17">
        <f>E6+E7</f>
        <v>941.03</v>
      </c>
      <c r="F8" s="17">
        <f>F6+F7</f>
        <v>695.81</v>
      </c>
      <c r="G8" s="14"/>
      <c r="H8" s="7"/>
    </row>
    <row r="9" spans="1:8" x14ac:dyDescent="0.2">
      <c r="A9" s="15">
        <v>4</v>
      </c>
      <c r="B9" s="16" t="s">
        <v>10</v>
      </c>
      <c r="C9" s="13">
        <f>C8*5%</f>
        <v>49.332999999999998</v>
      </c>
      <c r="D9" s="13">
        <f t="shared" ref="D9:F9" si="0">D8*5%</f>
        <v>44.435000000000002</v>
      </c>
      <c r="E9" s="13">
        <f t="shared" si="0"/>
        <v>47.051500000000004</v>
      </c>
      <c r="F9" s="13">
        <f t="shared" si="0"/>
        <v>34.790500000000002</v>
      </c>
      <c r="G9" s="14"/>
    </row>
    <row r="10" spans="1:8" x14ac:dyDescent="0.2">
      <c r="A10" s="15">
        <v>5</v>
      </c>
      <c r="B10" s="16" t="s">
        <v>11</v>
      </c>
      <c r="C10" s="13">
        <v>4.7</v>
      </c>
      <c r="D10" s="13">
        <v>4.7</v>
      </c>
      <c r="E10" s="13">
        <v>4.7</v>
      </c>
      <c r="F10" s="13">
        <v>4.7</v>
      </c>
      <c r="G10" s="14"/>
    </row>
    <row r="11" spans="1:8" x14ac:dyDescent="0.2">
      <c r="A11" s="18">
        <v>6</v>
      </c>
      <c r="B11" s="19" t="s">
        <v>12</v>
      </c>
      <c r="C11" s="13">
        <v>3</v>
      </c>
      <c r="D11" s="13">
        <v>3</v>
      </c>
      <c r="E11" s="13">
        <v>3</v>
      </c>
      <c r="F11" s="13">
        <v>2</v>
      </c>
      <c r="G11" s="14"/>
    </row>
    <row r="12" spans="1:8" x14ac:dyDescent="0.2">
      <c r="A12" s="18">
        <v>7</v>
      </c>
      <c r="B12" s="19" t="s">
        <v>13</v>
      </c>
      <c r="C12" s="17">
        <f>10+10</f>
        <v>20</v>
      </c>
      <c r="D12" s="17">
        <v>10</v>
      </c>
      <c r="E12" s="17">
        <f>10+10</f>
        <v>20</v>
      </c>
      <c r="F12" s="17">
        <f>10+10</f>
        <v>20</v>
      </c>
      <c r="G12" s="14"/>
    </row>
    <row r="13" spans="1:8" x14ac:dyDescent="0.2">
      <c r="A13" s="15">
        <v>8</v>
      </c>
      <c r="B13" s="16" t="s">
        <v>14</v>
      </c>
      <c r="C13" s="13">
        <v>2</v>
      </c>
      <c r="D13" s="13">
        <v>2</v>
      </c>
      <c r="E13" s="13">
        <v>2</v>
      </c>
      <c r="F13" s="13">
        <v>2</v>
      </c>
      <c r="G13" s="14"/>
    </row>
    <row r="14" spans="1:8" x14ac:dyDescent="0.2">
      <c r="A14" s="15">
        <v>9</v>
      </c>
      <c r="B14" s="16" t="s">
        <v>15</v>
      </c>
      <c r="C14" s="13">
        <v>2</v>
      </c>
      <c r="D14" s="13">
        <v>2</v>
      </c>
      <c r="E14" s="13">
        <v>2</v>
      </c>
      <c r="F14" s="13">
        <v>2</v>
      </c>
      <c r="G14" s="14"/>
    </row>
    <row r="15" spans="1:8" x14ac:dyDescent="0.2">
      <c r="A15" s="15">
        <v>10</v>
      </c>
      <c r="B15" s="16" t="s">
        <v>16</v>
      </c>
      <c r="C15" s="13">
        <f>5.68+7.8</f>
        <v>13.48</v>
      </c>
      <c r="D15" s="13">
        <f>4.96+7.8</f>
        <v>12.76</v>
      </c>
      <c r="E15" s="13">
        <f>5.51+7.8</f>
        <v>13.309999999999999</v>
      </c>
      <c r="F15" s="13">
        <f>3.07+7.8</f>
        <v>10.87</v>
      </c>
      <c r="G15" s="14"/>
    </row>
    <row r="16" spans="1:8" x14ac:dyDescent="0.2">
      <c r="A16" s="15">
        <v>11</v>
      </c>
      <c r="B16" s="16" t="s">
        <v>17</v>
      </c>
      <c r="C16" s="17">
        <f>SUM(C8:C15)</f>
        <v>1081.173</v>
      </c>
      <c r="D16" s="17">
        <f>SUM(D8:D15)</f>
        <v>967.59500000000003</v>
      </c>
      <c r="E16" s="17">
        <f>SUM(E8:E15)</f>
        <v>1033.0915</v>
      </c>
      <c r="F16" s="17">
        <f>SUM(F8:F15)</f>
        <v>772.17049999999995</v>
      </c>
      <c r="G16" s="14"/>
    </row>
    <row r="17" spans="1:8" x14ac:dyDescent="0.2">
      <c r="A17" s="15">
        <v>12</v>
      </c>
      <c r="B17" s="16" t="s">
        <v>18</v>
      </c>
      <c r="C17" s="17">
        <v>1362</v>
      </c>
      <c r="D17" s="17">
        <v>1162.24</v>
      </c>
      <c r="E17" s="17">
        <v>1248.5</v>
      </c>
      <c r="F17" s="17">
        <v>1071.44</v>
      </c>
      <c r="G17" s="14"/>
    </row>
    <row r="18" spans="1:8" x14ac:dyDescent="0.2">
      <c r="A18" s="15">
        <v>13</v>
      </c>
      <c r="B18" s="16" t="s">
        <v>19</v>
      </c>
      <c r="C18" s="17">
        <f>C16/C17</f>
        <v>0.79381277533039651</v>
      </c>
      <c r="D18" s="17">
        <f>D16/D17</f>
        <v>0.83252598430616742</v>
      </c>
      <c r="E18" s="17">
        <f>E16/E17</f>
        <v>0.82746615939126955</v>
      </c>
      <c r="F18" s="17">
        <f>F16/F17</f>
        <v>0.72068477936235342</v>
      </c>
      <c r="G18" s="14"/>
    </row>
    <row r="19" spans="1:8" ht="17.25" customHeight="1" x14ac:dyDescent="0.2">
      <c r="A19" s="20">
        <v>14</v>
      </c>
      <c r="B19" s="21" t="s">
        <v>20</v>
      </c>
      <c r="C19" s="22">
        <v>11824.1</v>
      </c>
      <c r="D19" s="22">
        <v>11824.1</v>
      </c>
      <c r="E19" s="22">
        <v>11824.1</v>
      </c>
      <c r="F19" s="22">
        <v>11824.1</v>
      </c>
      <c r="G19" s="14"/>
    </row>
    <row r="20" spans="1:8" x14ac:dyDescent="0.2">
      <c r="A20" s="15">
        <v>15</v>
      </c>
      <c r="B20" s="12" t="s">
        <v>21</v>
      </c>
      <c r="C20" s="17">
        <f>C18*C19</f>
        <v>9386.1216367841425</v>
      </c>
      <c r="D20" s="17">
        <f>D18*D19</f>
        <v>9843.870491034555</v>
      </c>
      <c r="E20" s="17">
        <f>E18*E19</f>
        <v>9784.0426152583113</v>
      </c>
      <c r="F20" s="17">
        <f>F18*F19</f>
        <v>8521.4488996584041</v>
      </c>
      <c r="G20" s="14"/>
    </row>
    <row r="21" spans="1:8" x14ac:dyDescent="0.2">
      <c r="A21" s="15">
        <v>16</v>
      </c>
      <c r="B21" s="12" t="s">
        <v>22</v>
      </c>
      <c r="C21" s="13">
        <f>1115.37+250+100</f>
        <v>1465.37</v>
      </c>
      <c r="D21" s="13">
        <f>967.41+250+250</f>
        <v>1467.4099999999999</v>
      </c>
      <c r="E21" s="13">
        <f>984.79+250</f>
        <v>1234.79</v>
      </c>
      <c r="F21" s="13">
        <f>526.95+250+240</f>
        <v>1016.95</v>
      </c>
      <c r="G21" s="14"/>
    </row>
    <row r="22" spans="1:8" x14ac:dyDescent="0.2">
      <c r="A22" s="23">
        <v>17</v>
      </c>
      <c r="B22" s="24" t="s">
        <v>23</v>
      </c>
      <c r="C22" s="17">
        <v>50</v>
      </c>
      <c r="D22" s="17">
        <v>50</v>
      </c>
      <c r="E22" s="17">
        <v>50</v>
      </c>
      <c r="F22" s="17">
        <v>50</v>
      </c>
      <c r="G22" s="14"/>
    </row>
    <row r="23" spans="1:8" x14ac:dyDescent="0.2">
      <c r="A23" s="15">
        <v>18</v>
      </c>
      <c r="B23" s="12" t="s">
        <v>24</v>
      </c>
      <c r="C23" s="13">
        <v>55</v>
      </c>
      <c r="D23" s="13">
        <v>55</v>
      </c>
      <c r="E23" s="13">
        <v>55</v>
      </c>
      <c r="F23" s="13">
        <v>0</v>
      </c>
      <c r="G23" s="14"/>
    </row>
    <row r="24" spans="1:8" x14ac:dyDescent="0.2">
      <c r="A24" s="25">
        <v>19</v>
      </c>
      <c r="B24" s="26" t="s">
        <v>25</v>
      </c>
      <c r="C24" s="17">
        <f>1059.57-494.62-86.81</f>
        <v>478.13999999999993</v>
      </c>
      <c r="D24" s="17">
        <f>826.37-808.02</f>
        <v>18.350000000000023</v>
      </c>
      <c r="E24" s="17">
        <f>1207.67-306.8-94.7</f>
        <v>806.17000000000007</v>
      </c>
      <c r="F24" s="17">
        <f>2291.87+230.09-110.36</f>
        <v>2411.6</v>
      </c>
      <c r="G24" s="27"/>
      <c r="H24" s="28"/>
    </row>
    <row r="25" spans="1:8" x14ac:dyDescent="0.2">
      <c r="A25" s="15">
        <v>20</v>
      </c>
      <c r="B25" s="12" t="s">
        <v>26</v>
      </c>
      <c r="C25" s="13">
        <v>495.37</v>
      </c>
      <c r="D25" s="13">
        <v>495.37</v>
      </c>
      <c r="E25" s="13">
        <v>0</v>
      </c>
      <c r="F25" s="13">
        <v>0</v>
      </c>
      <c r="G25" s="27"/>
      <c r="H25" s="29"/>
    </row>
    <row r="26" spans="1:8" x14ac:dyDescent="0.2">
      <c r="A26" s="15">
        <v>21</v>
      </c>
      <c r="B26" s="12" t="s">
        <v>27</v>
      </c>
      <c r="C26" s="13">
        <v>70</v>
      </c>
      <c r="D26" s="13">
        <v>70</v>
      </c>
      <c r="E26" s="13">
        <v>70</v>
      </c>
      <c r="F26" s="30">
        <v>0</v>
      </c>
      <c r="G26" s="14"/>
    </row>
    <row r="27" spans="1:8" s="32" customFormat="1" x14ac:dyDescent="0.2">
      <c r="A27" s="23">
        <v>22</v>
      </c>
      <c r="B27" s="24" t="s">
        <v>28</v>
      </c>
      <c r="C27" s="17">
        <v>0</v>
      </c>
      <c r="D27" s="17">
        <v>0</v>
      </c>
      <c r="E27" s="17">
        <v>0</v>
      </c>
      <c r="F27" s="17">
        <v>0</v>
      </c>
      <c r="G27" s="31"/>
    </row>
    <row r="28" spans="1:8" x14ac:dyDescent="0.2">
      <c r="A28" s="15">
        <v>23</v>
      </c>
      <c r="B28" s="50" t="s">
        <v>29</v>
      </c>
      <c r="C28" s="13">
        <v>0</v>
      </c>
      <c r="D28" s="13">
        <v>0</v>
      </c>
      <c r="E28" s="13">
        <v>0</v>
      </c>
      <c r="F28" s="13">
        <v>0</v>
      </c>
      <c r="G28" s="27"/>
      <c r="H28" s="28"/>
    </row>
    <row r="29" spans="1:8" ht="20.25" customHeight="1" x14ac:dyDescent="0.2">
      <c r="A29" s="33">
        <v>24</v>
      </c>
      <c r="B29" s="34" t="s">
        <v>30</v>
      </c>
      <c r="C29" s="35">
        <f>SUM(C20:C28)</f>
        <v>12000.001636784144</v>
      </c>
      <c r="D29" s="35">
        <f>SUM(D20:D28)</f>
        <v>12000.000491034556</v>
      </c>
      <c r="E29" s="35">
        <f>SUM(E20:E28)</f>
        <v>12000.00261525831</v>
      </c>
      <c r="F29" s="35">
        <f>SUM(F20:F28)</f>
        <v>11999.998899658405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2.75" hidden="1" customHeight="1" x14ac:dyDescent="0.2">
      <c r="A31" s="3"/>
      <c r="C31" s="37"/>
      <c r="D31" s="37"/>
      <c r="E31" s="37"/>
      <c r="F31" s="37"/>
      <c r="G31" s="37"/>
    </row>
    <row r="32" spans="1:8" s="36" customFormat="1" ht="0.75" customHeight="1" x14ac:dyDescent="0.2">
      <c r="A32" s="39" t="s">
        <v>31</v>
      </c>
      <c r="B32" s="40"/>
      <c r="C32" s="39" t="s">
        <v>31</v>
      </c>
      <c r="D32" s="40"/>
      <c r="E32" s="41"/>
      <c r="F32" s="41"/>
      <c r="G32" s="37"/>
    </row>
    <row r="33" spans="1:7" s="36" customFormat="1" ht="14.25" hidden="1" customHeight="1" x14ac:dyDescent="0.2">
      <c r="A33" s="39" t="s">
        <v>32</v>
      </c>
      <c r="B33" s="40"/>
      <c r="C33" s="39" t="s">
        <v>33</v>
      </c>
      <c r="D33" s="40"/>
      <c r="E33" s="41"/>
      <c r="F33" s="41"/>
      <c r="G33" s="37"/>
    </row>
    <row r="34" spans="1:7" s="36" customFormat="1" ht="14.25" hidden="1" customHeight="1" x14ac:dyDescent="0.2">
      <c r="A34" s="42"/>
      <c r="B34" s="40"/>
      <c r="C34" s="42"/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39" t="s">
        <v>31</v>
      </c>
      <c r="B36" s="40"/>
      <c r="C36" s="39" t="s">
        <v>31</v>
      </c>
      <c r="D36" s="40"/>
      <c r="E36" s="41"/>
      <c r="F36" s="41"/>
      <c r="G36" s="37"/>
    </row>
    <row r="37" spans="1:7" s="36" customFormat="1" ht="14.25" hidden="1" customHeight="1" x14ac:dyDescent="0.2">
      <c r="A37" s="39" t="s">
        <v>34</v>
      </c>
      <c r="B37" s="40"/>
      <c r="C37" s="39" t="s">
        <v>35</v>
      </c>
      <c r="D37" s="40"/>
      <c r="E37" s="41"/>
      <c r="F37" s="41"/>
      <c r="G37" s="37"/>
    </row>
    <row r="38" spans="1:7" s="36" customFormat="1" ht="14.25" hidden="1" customHeight="1" x14ac:dyDescent="0.2">
      <c r="A38" s="42"/>
      <c r="B38" s="40"/>
      <c r="C38" s="42"/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39" t="s">
        <v>36</v>
      </c>
      <c r="B40" s="40"/>
      <c r="C40" s="39" t="s">
        <v>36</v>
      </c>
      <c r="D40" s="40"/>
      <c r="E40" s="41"/>
      <c r="F40" s="41"/>
      <c r="G40" s="37"/>
    </row>
    <row r="41" spans="1:7" s="36" customFormat="1" ht="14.25" hidden="1" customHeight="1" x14ac:dyDescent="0.2">
      <c r="A41" s="39" t="s">
        <v>37</v>
      </c>
      <c r="B41" s="40"/>
      <c r="C41" s="39" t="s">
        <v>38</v>
      </c>
      <c r="D41" s="40"/>
      <c r="E41" s="41"/>
      <c r="F41" s="41"/>
      <c r="G41" s="37"/>
    </row>
    <row r="42" spans="1:7" ht="14.25" customHeight="1" x14ac:dyDescent="0.2">
      <c r="A42" s="43"/>
      <c r="B42" s="36"/>
      <c r="C42" s="43"/>
      <c r="D42" s="43"/>
      <c r="E42" s="37"/>
      <c r="F42" s="37"/>
      <c r="G42" s="38"/>
    </row>
    <row r="43" spans="1:7" ht="14.25" customHeight="1" x14ac:dyDescent="0.2">
      <c r="A43" s="44"/>
      <c r="B43" s="170" t="s">
        <v>39</v>
      </c>
      <c r="C43" s="170"/>
      <c r="D43" s="170"/>
      <c r="E43" s="170"/>
      <c r="F43" s="45"/>
      <c r="G43" s="38"/>
    </row>
    <row r="44" spans="1:7" ht="14.25" customHeight="1" x14ac:dyDescent="0.2">
      <c r="A44" s="6"/>
      <c r="B44" s="171" t="s">
        <v>40</v>
      </c>
      <c r="C44" s="171"/>
      <c r="D44" s="171"/>
      <c r="E44" s="171"/>
      <c r="F44" s="6"/>
      <c r="G44" s="38"/>
    </row>
    <row r="45" spans="1:7" ht="14.25" customHeight="1" x14ac:dyDescent="0.2">
      <c r="A45" s="6"/>
      <c r="B45" s="46"/>
      <c r="C45" s="46"/>
      <c r="D45" s="46"/>
      <c r="E45" s="46"/>
      <c r="F45" s="6"/>
      <c r="G45" s="38"/>
    </row>
    <row r="46" spans="1:7" ht="14.25" customHeight="1" x14ac:dyDescent="0.2">
      <c r="A46" s="6"/>
      <c r="B46" s="46"/>
      <c r="C46" s="46"/>
      <c r="D46" s="46"/>
      <c r="E46" s="46"/>
      <c r="F46" s="6"/>
      <c r="G46" s="38"/>
    </row>
  </sheetData>
  <mergeCells count="3">
    <mergeCell ref="B4:F4"/>
    <mergeCell ref="B43:E43"/>
    <mergeCell ref="B44:E44"/>
  </mergeCells>
  <pageMargins left="0.5" right="0.3" top="0" bottom="0" header="0.3" footer="0.3"/>
  <pageSetup paperSize="9" scale="1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B224-BAF6-4CE7-BAC3-9D939C121D65}">
  <dimension ref="A1:I50"/>
  <sheetViews>
    <sheetView zoomScaleNormal="100" workbookViewId="0">
      <selection activeCell="E29" sqref="C29:E29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78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79</v>
      </c>
      <c r="C6" s="129">
        <v>861.02</v>
      </c>
      <c r="D6" s="129">
        <v>883.04</v>
      </c>
      <c r="E6" s="129">
        <v>1033.71</v>
      </c>
      <c r="F6" s="129">
        <v>462.94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947.52</v>
      </c>
      <c r="D8" s="132">
        <f>D6+D7</f>
        <v>1031.04</v>
      </c>
      <c r="E8" s="132">
        <f>E6+E7</f>
        <v>1102.71</v>
      </c>
      <c r="F8" s="132">
        <f>F6+F7</f>
        <v>566.44000000000005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47.376000000000005</v>
      </c>
      <c r="D9" s="132">
        <f>D8*5%</f>
        <v>51.552</v>
      </c>
      <c r="E9" s="132">
        <f>E8*5%</f>
        <v>55.135500000000008</v>
      </c>
      <c r="F9" s="132">
        <f>F8*5%</f>
        <v>28.322000000000003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1040.076</v>
      </c>
      <c r="D16" s="132">
        <f>SUM(D8:D15)</f>
        <v>1127.0519999999999</v>
      </c>
      <c r="E16" s="132">
        <f>SUM(E8:E15)</f>
        <v>1202.8555000000001</v>
      </c>
      <c r="F16" s="132">
        <f>SUM(F8:F15)</f>
        <v>636.33200000000011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0.76363876651982376</v>
      </c>
      <c r="D18" s="132">
        <f>D16/D17</f>
        <v>0.9697239812775329</v>
      </c>
      <c r="E18" s="132">
        <f>E16/E17</f>
        <v>0.96344052863436136</v>
      </c>
      <c r="F18" s="132">
        <f>F16/F17</f>
        <v>0.59390353169566201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18.7</v>
      </c>
      <c r="D19" s="140">
        <v>18.7</v>
      </c>
      <c r="E19" s="140">
        <v>18.7</v>
      </c>
      <c r="F19" s="140">
        <v>18.7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14.280044933920705</v>
      </c>
      <c r="D20" s="132">
        <f>D18*D19</f>
        <v>18.133838449889865</v>
      </c>
      <c r="E20" s="132">
        <f>E18*E19</f>
        <v>18.016337885462558</v>
      </c>
      <c r="F20" s="132">
        <f>F18*F19</f>
        <v>11.105996042708879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1.63</v>
      </c>
      <c r="F21" s="132">
        <v>1.42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0.15</v>
      </c>
      <c r="D22" s="132">
        <v>0.06</v>
      </c>
      <c r="E22" s="132">
        <v>0</v>
      </c>
      <c r="F22" s="132">
        <v>3.26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  <c r="H23" s="144"/>
    </row>
    <row r="24" spans="1:8" s="122" customFormat="1" x14ac:dyDescent="0.15">
      <c r="A24" s="134">
        <v>19</v>
      </c>
      <c r="B24" s="131" t="s">
        <v>25</v>
      </c>
      <c r="C24" s="132">
        <f>0.1+0.04</f>
        <v>0.14000000000000001</v>
      </c>
      <c r="D24" s="132">
        <v>0.1</v>
      </c>
      <c r="E24" s="132">
        <f>1.074568-0.97</f>
        <v>0.10456799999999999</v>
      </c>
      <c r="F24" s="132">
        <f>3.75425-0.17-0.55</f>
        <v>3.0342500000000001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f>0.49537+0.2-0.2</f>
        <v>0.49537000000000003</v>
      </c>
      <c r="D25" s="132">
        <v>0.16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0</v>
      </c>
      <c r="D27" s="132">
        <v>0</v>
      </c>
      <c r="E27" s="132">
        <v>0</v>
      </c>
      <c r="F27" s="132">
        <v>0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v>21</v>
      </c>
      <c r="D29" s="150">
        <v>21</v>
      </c>
      <c r="E29" s="150">
        <v>21</v>
      </c>
      <c r="F29" s="150">
        <v>20</v>
      </c>
      <c r="G29" s="133"/>
      <c r="H29" s="144"/>
    </row>
    <row r="30" spans="1:8" s="167" customFormat="1" ht="18" customHeight="1" x14ac:dyDescent="0.15">
      <c r="A30" s="168"/>
      <c r="B30" s="168"/>
      <c r="C30" s="168"/>
      <c r="D30" s="168"/>
      <c r="E30" s="168"/>
      <c r="F30" s="168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4">
    <mergeCell ref="B4:F4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F74A-21B1-4005-A819-67B7C3738165}">
  <dimension ref="A1:I50"/>
  <sheetViews>
    <sheetView tabSelected="1" zoomScaleNormal="100" workbookViewId="0">
      <selection activeCell="F7" sqref="F7"/>
    </sheetView>
  </sheetViews>
  <sheetFormatPr defaultRowHeight="15" x14ac:dyDescent="0.2"/>
  <cols>
    <col min="1" max="1" width="9.81640625" style="1" customWidth="1"/>
    <col min="2" max="2" width="53.26953125" customWidth="1"/>
    <col min="3" max="3" width="17.62109375" customWidth="1"/>
    <col min="4" max="5" width="16.27734375" customWidth="1"/>
    <col min="6" max="6" width="16.41015625" customWidth="1"/>
    <col min="7" max="7" width="22.05859375" customWidth="1"/>
    <col min="8" max="8" width="9.14453125" bestFit="1" customWidth="1"/>
    <col min="10" max="10" width="9.14453125" bestFit="1" customWidth="1"/>
  </cols>
  <sheetData>
    <row r="1" spans="1:9" x14ac:dyDescent="0.2">
      <c r="F1" s="2"/>
      <c r="I1" s="49"/>
    </row>
    <row r="2" spans="1:9" ht="22.5" x14ac:dyDescent="0.2">
      <c r="F2" s="100"/>
      <c r="I2" s="49"/>
    </row>
    <row r="3" spans="1:9" x14ac:dyDescent="0.2">
      <c r="F3" s="2"/>
      <c r="I3" s="49"/>
    </row>
    <row r="4" spans="1:9" s="122" customFormat="1" ht="26.25" customHeight="1" x14ac:dyDescent="0.15">
      <c r="A4" s="120"/>
      <c r="B4" s="173" t="s">
        <v>80</v>
      </c>
      <c r="C4" s="173"/>
      <c r="D4" s="173"/>
      <c r="E4" s="173"/>
      <c r="F4" s="173"/>
      <c r="G4" s="121"/>
      <c r="I4" s="123"/>
    </row>
    <row r="5" spans="1:9" s="122" customFormat="1" x14ac:dyDescent="0.15">
      <c r="A5" s="124" t="s">
        <v>1</v>
      </c>
      <c r="B5" s="124" t="s">
        <v>2</v>
      </c>
      <c r="C5" s="124" t="s">
        <v>3</v>
      </c>
      <c r="D5" s="124" t="s">
        <v>4</v>
      </c>
      <c r="E5" s="124" t="s">
        <v>5</v>
      </c>
      <c r="F5" s="124" t="s">
        <v>6</v>
      </c>
      <c r="G5" s="125"/>
      <c r="H5" s="126"/>
      <c r="I5" s="123"/>
    </row>
    <row r="6" spans="1:9" s="122" customFormat="1" ht="20.25" customHeight="1" x14ac:dyDescent="0.15">
      <c r="A6" s="127">
        <v>1</v>
      </c>
      <c r="B6" s="128" t="s">
        <v>79</v>
      </c>
      <c r="C6" s="129">
        <v>861.02</v>
      </c>
      <c r="D6" s="129">
        <v>883.04</v>
      </c>
      <c r="E6" s="129">
        <v>1033.71</v>
      </c>
      <c r="F6" s="129">
        <v>462.94</v>
      </c>
      <c r="G6" s="125"/>
      <c r="H6" s="126"/>
      <c r="I6" s="123"/>
    </row>
    <row r="7" spans="1:9" s="122" customFormat="1" x14ac:dyDescent="0.15">
      <c r="A7" s="130">
        <v>2</v>
      </c>
      <c r="B7" s="131" t="s">
        <v>8</v>
      </c>
      <c r="C7" s="132">
        <v>86.5</v>
      </c>
      <c r="D7" s="132">
        <v>148</v>
      </c>
      <c r="E7" s="132">
        <f>63+6</f>
        <v>69</v>
      </c>
      <c r="F7" s="132">
        <v>103.5</v>
      </c>
      <c r="G7" s="133"/>
      <c r="H7" s="126"/>
    </row>
    <row r="8" spans="1:9" s="122" customFormat="1" x14ac:dyDescent="0.15">
      <c r="A8" s="134">
        <v>3</v>
      </c>
      <c r="B8" s="135" t="s">
        <v>9</v>
      </c>
      <c r="C8" s="132">
        <f>C6+C7</f>
        <v>947.52</v>
      </c>
      <c r="D8" s="132">
        <f>D6+D7</f>
        <v>1031.04</v>
      </c>
      <c r="E8" s="132">
        <f>E6+E7</f>
        <v>1102.71</v>
      </c>
      <c r="F8" s="132">
        <f>F6+F7</f>
        <v>566.44000000000005</v>
      </c>
      <c r="G8" s="133"/>
      <c r="H8" s="126"/>
      <c r="I8" s="126"/>
    </row>
    <row r="9" spans="1:9" s="122" customFormat="1" x14ac:dyDescent="0.15">
      <c r="A9" s="134">
        <v>4</v>
      </c>
      <c r="B9" s="135" t="s">
        <v>10</v>
      </c>
      <c r="C9" s="132">
        <f>C8*5%</f>
        <v>47.376000000000005</v>
      </c>
      <c r="D9" s="132">
        <f>D8*5%</f>
        <v>51.552</v>
      </c>
      <c r="E9" s="132">
        <f>E8*5%</f>
        <v>55.135500000000008</v>
      </c>
      <c r="F9" s="132">
        <f>F8*5%</f>
        <v>28.322000000000003</v>
      </c>
      <c r="G9" s="133"/>
      <c r="H9" s="123"/>
      <c r="I9" s="126"/>
    </row>
    <row r="10" spans="1:9" s="122" customFormat="1" x14ac:dyDescent="0.15">
      <c r="A10" s="134">
        <v>5</v>
      </c>
      <c r="B10" s="135" t="s">
        <v>11</v>
      </c>
      <c r="C10" s="132">
        <v>4.7</v>
      </c>
      <c r="D10" s="132">
        <v>4.7</v>
      </c>
      <c r="E10" s="132">
        <v>4.7</v>
      </c>
      <c r="F10" s="132">
        <v>4.7</v>
      </c>
      <c r="G10" s="133"/>
      <c r="H10" s="123"/>
      <c r="I10" s="126"/>
    </row>
    <row r="11" spans="1:9" s="122" customFormat="1" x14ac:dyDescent="0.15">
      <c r="A11" s="136">
        <v>6</v>
      </c>
      <c r="B11" s="137" t="s">
        <v>12</v>
      </c>
      <c r="C11" s="132">
        <v>3</v>
      </c>
      <c r="D11" s="132">
        <v>3</v>
      </c>
      <c r="E11" s="132">
        <v>3</v>
      </c>
      <c r="F11" s="132">
        <v>2</v>
      </c>
      <c r="G11" s="133"/>
    </row>
    <row r="12" spans="1:9" s="122" customFormat="1" x14ac:dyDescent="0.15">
      <c r="A12" s="136">
        <v>7</v>
      </c>
      <c r="B12" s="137" t="s">
        <v>13</v>
      </c>
      <c r="C12" s="132">
        <v>20</v>
      </c>
      <c r="D12" s="132">
        <v>20</v>
      </c>
      <c r="E12" s="132">
        <v>20</v>
      </c>
      <c r="F12" s="132">
        <v>20</v>
      </c>
      <c r="G12" s="133"/>
    </row>
    <row r="13" spans="1:9" s="122" customFormat="1" x14ac:dyDescent="0.15">
      <c r="A13" s="134">
        <v>8</v>
      </c>
      <c r="B13" s="135" t="s">
        <v>14</v>
      </c>
      <c r="C13" s="132">
        <v>2</v>
      </c>
      <c r="D13" s="132">
        <v>2</v>
      </c>
      <c r="E13" s="132">
        <v>2</v>
      </c>
      <c r="F13" s="132">
        <v>2</v>
      </c>
      <c r="G13" s="133"/>
      <c r="H13" s="123"/>
    </row>
    <row r="14" spans="1:9" s="122" customFormat="1" x14ac:dyDescent="0.15">
      <c r="A14" s="134">
        <v>9</v>
      </c>
      <c r="B14" s="135" t="s">
        <v>15</v>
      </c>
      <c r="C14" s="132">
        <v>2</v>
      </c>
      <c r="D14" s="132">
        <v>2</v>
      </c>
      <c r="E14" s="132">
        <v>2</v>
      </c>
      <c r="F14" s="132">
        <v>2</v>
      </c>
      <c r="G14" s="133"/>
    </row>
    <row r="15" spans="1:9" s="122" customFormat="1" x14ac:dyDescent="0.15">
      <c r="A15" s="134">
        <v>10</v>
      </c>
      <c r="B15" s="135" t="s">
        <v>16</v>
      </c>
      <c r="C15" s="132">
        <f>5.68+7.8</f>
        <v>13.48</v>
      </c>
      <c r="D15" s="132">
        <f>4.96+7.8</f>
        <v>12.76</v>
      </c>
      <c r="E15" s="132">
        <f>5.51+7.8</f>
        <v>13.309999999999999</v>
      </c>
      <c r="F15" s="132">
        <f>3.07+7.8</f>
        <v>10.87</v>
      </c>
      <c r="G15" s="133"/>
    </row>
    <row r="16" spans="1:9" s="122" customFormat="1" x14ac:dyDescent="0.15">
      <c r="A16" s="134">
        <v>11</v>
      </c>
      <c r="B16" s="135" t="s">
        <v>17</v>
      </c>
      <c r="C16" s="132">
        <f>SUM(C8:C15)</f>
        <v>1040.076</v>
      </c>
      <c r="D16" s="132">
        <f>SUM(D8:D15)</f>
        <v>1127.0519999999999</v>
      </c>
      <c r="E16" s="132">
        <f>SUM(E8:E15)</f>
        <v>1202.8555000000001</v>
      </c>
      <c r="F16" s="132">
        <f>SUM(F8:F15)</f>
        <v>636.33200000000011</v>
      </c>
      <c r="G16" s="133"/>
    </row>
    <row r="17" spans="1:8" s="122" customFormat="1" x14ac:dyDescent="0.15">
      <c r="A17" s="134">
        <v>12</v>
      </c>
      <c r="B17" s="135" t="s">
        <v>18</v>
      </c>
      <c r="C17" s="132">
        <v>1362</v>
      </c>
      <c r="D17" s="132">
        <v>1162.24</v>
      </c>
      <c r="E17" s="132">
        <v>1248.5</v>
      </c>
      <c r="F17" s="132">
        <v>1071.44</v>
      </c>
      <c r="G17" s="133"/>
    </row>
    <row r="18" spans="1:8" s="122" customFormat="1" x14ac:dyDescent="0.15">
      <c r="A18" s="134">
        <v>13</v>
      </c>
      <c r="B18" s="135" t="s">
        <v>19</v>
      </c>
      <c r="C18" s="132">
        <f>C16/C17</f>
        <v>0.76363876651982376</v>
      </c>
      <c r="D18" s="132">
        <f>D16/D17</f>
        <v>0.9697239812775329</v>
      </c>
      <c r="E18" s="132">
        <f>E16/E17</f>
        <v>0.96344052863436136</v>
      </c>
      <c r="F18" s="132">
        <f>F16/F17</f>
        <v>0.59390353169566201</v>
      </c>
      <c r="G18" s="133"/>
    </row>
    <row r="19" spans="1:8" s="122" customFormat="1" ht="17.25" customHeight="1" x14ac:dyDescent="0.15">
      <c r="A19" s="138">
        <v>14</v>
      </c>
      <c r="B19" s="139" t="s">
        <v>20</v>
      </c>
      <c r="C19" s="140">
        <v>18.7</v>
      </c>
      <c r="D19" s="140">
        <v>18.7</v>
      </c>
      <c r="E19" s="140">
        <v>18.7</v>
      </c>
      <c r="F19" s="140">
        <v>18.7</v>
      </c>
      <c r="G19" s="133"/>
    </row>
    <row r="20" spans="1:8" s="122" customFormat="1" x14ac:dyDescent="0.15">
      <c r="A20" s="134">
        <v>15</v>
      </c>
      <c r="B20" s="131" t="s">
        <v>21</v>
      </c>
      <c r="C20" s="132">
        <f>C18*C19</f>
        <v>14.280044933920705</v>
      </c>
      <c r="D20" s="132">
        <f>D18*D19</f>
        <v>18.133838449889865</v>
      </c>
      <c r="E20" s="132">
        <f>E18*E19</f>
        <v>18.016337885462558</v>
      </c>
      <c r="F20" s="132">
        <f>F18*F19</f>
        <v>11.105996042708879</v>
      </c>
      <c r="G20" s="133"/>
    </row>
    <row r="21" spans="1:8" s="122" customFormat="1" x14ac:dyDescent="0.15">
      <c r="A21" s="134">
        <v>16</v>
      </c>
      <c r="B21" s="131" t="s">
        <v>22</v>
      </c>
      <c r="C21" s="132">
        <v>2.5153699999999999</v>
      </c>
      <c r="D21" s="132">
        <v>2.52</v>
      </c>
      <c r="E21" s="132">
        <v>2.52</v>
      </c>
      <c r="F21" s="132">
        <v>2.52</v>
      </c>
      <c r="G21" s="133"/>
    </row>
    <row r="22" spans="1:8" s="122" customFormat="1" x14ac:dyDescent="0.15">
      <c r="A22" s="141">
        <v>17</v>
      </c>
      <c r="B22" s="131" t="s">
        <v>23</v>
      </c>
      <c r="C22" s="132">
        <v>0.43393999999999999</v>
      </c>
      <c r="D22" s="132">
        <v>0.43393999999999999</v>
      </c>
      <c r="E22" s="132">
        <v>1.8859999999999999</v>
      </c>
      <c r="F22" s="132">
        <v>5.3041299999999998</v>
      </c>
      <c r="G22" s="133"/>
    </row>
    <row r="23" spans="1:8" s="122" customFormat="1" x14ac:dyDescent="0.15">
      <c r="A23" s="134">
        <v>18</v>
      </c>
      <c r="B23" s="131" t="s">
        <v>24</v>
      </c>
      <c r="C23" s="132">
        <v>0.15</v>
      </c>
      <c r="D23" s="132">
        <v>0.15</v>
      </c>
      <c r="E23" s="132">
        <v>0.15</v>
      </c>
      <c r="F23" s="132">
        <v>0</v>
      </c>
      <c r="G23" s="133"/>
    </row>
    <row r="24" spans="1:8" s="122" customFormat="1" x14ac:dyDescent="0.15">
      <c r="A24" s="134">
        <v>19</v>
      </c>
      <c r="B24" s="131" t="s">
        <v>25</v>
      </c>
      <c r="C24" s="132">
        <v>2.6706600000000003</v>
      </c>
      <c r="D24" s="132">
        <v>0.82637000000000005</v>
      </c>
      <c r="E24" s="132">
        <v>0.81415000000000004</v>
      </c>
      <c r="F24" s="132">
        <v>4.1238999999999999</v>
      </c>
      <c r="G24" s="142"/>
      <c r="H24" s="143"/>
    </row>
    <row r="25" spans="1:8" s="122" customFormat="1" x14ac:dyDescent="0.15">
      <c r="A25" s="134">
        <v>20</v>
      </c>
      <c r="B25" s="131" t="s">
        <v>26</v>
      </c>
      <c r="C25" s="132">
        <v>0.49536999999999998</v>
      </c>
      <c r="D25" s="132">
        <v>0.49536999999999998</v>
      </c>
      <c r="E25" s="132">
        <v>0</v>
      </c>
      <c r="F25" s="132">
        <v>0</v>
      </c>
      <c r="G25" s="142"/>
      <c r="H25" s="144"/>
    </row>
    <row r="26" spans="1:8" s="122" customFormat="1" x14ac:dyDescent="0.15">
      <c r="A26" s="134">
        <v>21</v>
      </c>
      <c r="B26" s="131" t="s">
        <v>27</v>
      </c>
      <c r="C26" s="132">
        <v>7.0000000000000007E-2</v>
      </c>
      <c r="D26" s="132">
        <v>7.0000000000000007E-2</v>
      </c>
      <c r="E26" s="132">
        <v>7.0000000000000007E-2</v>
      </c>
      <c r="F26" s="145">
        <v>0</v>
      </c>
      <c r="G26" s="133"/>
    </row>
    <row r="27" spans="1:8" s="147" customFormat="1" x14ac:dyDescent="0.15">
      <c r="A27" s="141">
        <v>22</v>
      </c>
      <c r="B27" s="131" t="s">
        <v>28</v>
      </c>
      <c r="C27" s="132">
        <v>1</v>
      </c>
      <c r="D27" s="132">
        <v>1</v>
      </c>
      <c r="E27" s="132">
        <v>1</v>
      </c>
      <c r="F27" s="132">
        <v>1</v>
      </c>
      <c r="G27" s="146"/>
    </row>
    <row r="28" spans="1:8" s="122" customFormat="1" x14ac:dyDescent="0.15">
      <c r="A28" s="134">
        <v>23</v>
      </c>
      <c r="B28" s="131" t="s">
        <v>29</v>
      </c>
      <c r="C28" s="132">
        <v>0</v>
      </c>
      <c r="D28" s="132">
        <v>0</v>
      </c>
      <c r="E28" s="132">
        <v>0</v>
      </c>
      <c r="F28" s="132">
        <v>0</v>
      </c>
      <c r="G28" s="142"/>
      <c r="H28" s="143"/>
    </row>
    <row r="29" spans="1:8" s="122" customFormat="1" ht="18" customHeight="1" x14ac:dyDescent="0.15">
      <c r="A29" s="148">
        <v>24</v>
      </c>
      <c r="B29" s="149" t="s">
        <v>51</v>
      </c>
      <c r="C29" s="150">
        <f>SUM(C20:C28)</f>
        <v>21.615384933920705</v>
      </c>
      <c r="D29" s="150">
        <f t="shared" ref="D29:F29" si="0">SUM(D20:D28)</f>
        <v>23.629518449889865</v>
      </c>
      <c r="E29" s="150">
        <f t="shared" si="0"/>
        <v>24.456487885462558</v>
      </c>
      <c r="F29" s="150">
        <f t="shared" si="0"/>
        <v>24.054026042708877</v>
      </c>
      <c r="G29" s="133"/>
      <c r="H29" s="144"/>
    </row>
    <row r="30" spans="1:8" s="167" customFormat="1" ht="18" customHeight="1" x14ac:dyDescent="0.15">
      <c r="A30" s="175" t="s">
        <v>56</v>
      </c>
      <c r="B30" s="175"/>
      <c r="C30" s="175"/>
      <c r="D30" s="175"/>
      <c r="E30" s="175"/>
      <c r="F30" s="175"/>
      <c r="G30" s="165"/>
      <c r="H30" s="166"/>
    </row>
    <row r="31" spans="1:8" ht="12.75" customHeight="1" x14ac:dyDescent="0.2">
      <c r="A31" s="3"/>
      <c r="B31" s="36"/>
      <c r="C31" s="37"/>
      <c r="D31" s="37"/>
      <c r="E31" s="37"/>
      <c r="F31" s="37"/>
      <c r="G31" s="38"/>
    </row>
    <row r="32" spans="1:8" s="36" customFormat="1" ht="18" hidden="1" x14ac:dyDescent="0.25">
      <c r="A32" s="174"/>
      <c r="B32" s="174"/>
      <c r="C32" s="174"/>
      <c r="D32" s="174"/>
      <c r="E32" s="174"/>
      <c r="F32" s="174"/>
      <c r="G32" s="37"/>
    </row>
    <row r="33" spans="1:7" s="36" customFormat="1" hidden="1" x14ac:dyDescent="0.2">
      <c r="A33" s="39" t="s">
        <v>31</v>
      </c>
      <c r="B33" s="40"/>
      <c r="C33" s="39" t="s">
        <v>31</v>
      </c>
      <c r="D33" s="40"/>
      <c r="E33" s="41"/>
      <c r="F33" s="41"/>
      <c r="G33" s="37"/>
    </row>
    <row r="34" spans="1:7" s="36" customFormat="1" ht="14.25" hidden="1" customHeight="1" x14ac:dyDescent="0.2">
      <c r="A34" s="39" t="s">
        <v>32</v>
      </c>
      <c r="B34" s="40"/>
      <c r="C34" s="39" t="s">
        <v>33</v>
      </c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42"/>
      <c r="B36" s="40"/>
      <c r="C36" s="42"/>
      <c r="D36" s="40"/>
      <c r="E36" s="41"/>
      <c r="F36" s="41"/>
      <c r="G36" s="37"/>
    </row>
    <row r="37" spans="1:7" s="36" customFormat="1" ht="14.25" hidden="1" customHeight="1" x14ac:dyDescent="0.2">
      <c r="A37" s="39" t="s">
        <v>31</v>
      </c>
      <c r="B37" s="40"/>
      <c r="C37" s="39" t="s">
        <v>31</v>
      </c>
      <c r="D37" s="40"/>
      <c r="E37" s="41"/>
      <c r="F37" s="41"/>
      <c r="G37" s="37"/>
    </row>
    <row r="38" spans="1:7" s="36" customFormat="1" ht="14.25" hidden="1" customHeight="1" x14ac:dyDescent="0.2">
      <c r="A38" s="39" t="s">
        <v>34</v>
      </c>
      <c r="B38" s="40"/>
      <c r="C38" s="39" t="s">
        <v>35</v>
      </c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42"/>
      <c r="B40" s="40"/>
      <c r="C40" s="42"/>
      <c r="D40" s="40"/>
      <c r="E40" s="41"/>
      <c r="F40" s="41"/>
      <c r="G40" s="37"/>
    </row>
    <row r="41" spans="1:7" s="36" customFormat="1" ht="14.25" hidden="1" customHeight="1" x14ac:dyDescent="0.2">
      <c r="A41" s="39" t="s">
        <v>36</v>
      </c>
      <c r="B41" s="40"/>
      <c r="C41" s="39" t="s">
        <v>36</v>
      </c>
      <c r="D41" s="40"/>
      <c r="E41" s="41"/>
      <c r="F41" s="41"/>
      <c r="G41" s="37"/>
    </row>
    <row r="42" spans="1:7" s="36" customFormat="1" ht="14.25" hidden="1" customHeight="1" x14ac:dyDescent="0.2">
      <c r="A42" s="39" t="s">
        <v>37</v>
      </c>
      <c r="B42" s="40"/>
      <c r="C42" s="39" t="s">
        <v>38</v>
      </c>
      <c r="D42" s="40"/>
      <c r="E42" s="41"/>
      <c r="F42" s="41"/>
      <c r="G42" s="37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/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36</v>
      </c>
      <c r="B45" s="36"/>
      <c r="C45" s="43"/>
      <c r="D45" s="43"/>
      <c r="E45" s="37"/>
      <c r="F45" s="37"/>
      <c r="G45" s="38"/>
    </row>
    <row r="46" spans="1:7" ht="14.25" hidden="1" customHeight="1" x14ac:dyDescent="0.2">
      <c r="A46" s="43" t="s">
        <v>53</v>
      </c>
      <c r="B46" s="36"/>
      <c r="C46" s="43"/>
      <c r="D46" s="43"/>
      <c r="E46" s="37"/>
      <c r="F46" s="37"/>
      <c r="G46" s="38"/>
    </row>
    <row r="47" spans="1:7" ht="14.25" customHeight="1" x14ac:dyDescent="0.2">
      <c r="A47" s="44"/>
      <c r="B47" s="170" t="s">
        <v>39</v>
      </c>
      <c r="C47" s="170"/>
      <c r="D47" s="170"/>
      <c r="E47" s="170"/>
      <c r="F47" s="45"/>
      <c r="G47" s="38"/>
    </row>
    <row r="48" spans="1:7" ht="14.25" customHeight="1" x14ac:dyDescent="0.2">
      <c r="A48" s="6"/>
      <c r="B48" s="171" t="s">
        <v>40</v>
      </c>
      <c r="C48" s="171"/>
      <c r="D48" s="171"/>
      <c r="E48" s="171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  <row r="50" spans="1:7" ht="14.25" customHeight="1" x14ac:dyDescent="0.2">
      <c r="A50" s="6"/>
      <c r="B50" s="46"/>
      <c r="C50" s="46"/>
      <c r="D50" s="46"/>
      <c r="E50" s="46"/>
      <c r="F50" s="6"/>
      <c r="G50" s="38"/>
    </row>
  </sheetData>
  <mergeCells count="5">
    <mergeCell ref="B4:F4"/>
    <mergeCell ref="A30:F30"/>
    <mergeCell ref="A32:F32"/>
    <mergeCell ref="B47:E47"/>
    <mergeCell ref="B48:E48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49DA-D5E9-4F65-8BC9-1563CE5CA973}">
  <dimension ref="A1:H35"/>
  <sheetViews>
    <sheetView zoomScaleNormal="100" workbookViewId="0">
      <selection activeCell="B19" sqref="B19"/>
    </sheetView>
  </sheetViews>
  <sheetFormatPr defaultRowHeight="15" x14ac:dyDescent="0.2"/>
  <cols>
    <col min="1" max="1" width="9.81640625" style="1" customWidth="1"/>
    <col min="2" max="2" width="61.33984375" customWidth="1"/>
    <col min="3" max="5" width="17.75390625" customWidth="1"/>
    <col min="6" max="6" width="16.41015625" customWidth="1"/>
    <col min="7" max="7" width="22.05859375" customWidth="1"/>
    <col min="8" max="8" width="9.14453125" bestFit="1" customWidth="1"/>
  </cols>
  <sheetData>
    <row r="1" spans="1:8" x14ac:dyDescent="0.2">
      <c r="F1" s="2"/>
      <c r="H1" s="49"/>
    </row>
    <row r="2" spans="1:8" x14ac:dyDescent="0.2">
      <c r="F2" s="2"/>
      <c r="H2" s="49"/>
    </row>
    <row r="3" spans="1:8" x14ac:dyDescent="0.2">
      <c r="F3" s="2"/>
      <c r="H3" s="49"/>
    </row>
    <row r="4" spans="1:8" ht="26.25" customHeight="1" x14ac:dyDescent="0.2">
      <c r="A4" s="3"/>
      <c r="B4" s="169" t="s">
        <v>41</v>
      </c>
      <c r="C4" s="169"/>
      <c r="D4" s="169"/>
      <c r="E4" s="169"/>
      <c r="F4" s="169"/>
      <c r="G4" s="4"/>
      <c r="H4" s="49"/>
    </row>
    <row r="5" spans="1:8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</row>
    <row r="6" spans="1:8" ht="20.25" customHeight="1" x14ac:dyDescent="0.2">
      <c r="A6" s="8">
        <v>1</v>
      </c>
      <c r="B6" s="9" t="s">
        <v>42</v>
      </c>
      <c r="C6" s="10">
        <v>1076.25</v>
      </c>
      <c r="D6" s="10">
        <v>1031.05</v>
      </c>
      <c r="E6" s="10">
        <v>1121.1099999999999</v>
      </c>
      <c r="F6" s="10">
        <v>733.59</v>
      </c>
      <c r="G6" s="6"/>
      <c r="H6" s="7"/>
    </row>
    <row r="7" spans="1:8" x14ac:dyDescent="0.2">
      <c r="A7" s="11">
        <v>2</v>
      </c>
      <c r="B7" s="12" t="s">
        <v>8</v>
      </c>
      <c r="C7" s="13">
        <v>86.5</v>
      </c>
      <c r="D7" s="13">
        <f>63+22</f>
        <v>85</v>
      </c>
      <c r="E7" s="13">
        <f>63+6</f>
        <v>69</v>
      </c>
      <c r="F7" s="13">
        <f>81.5+17</f>
        <v>98.5</v>
      </c>
      <c r="G7" s="14"/>
      <c r="H7" s="7"/>
    </row>
    <row r="8" spans="1:8" x14ac:dyDescent="0.2">
      <c r="A8" s="15">
        <v>3</v>
      </c>
      <c r="B8" s="16" t="s">
        <v>9</v>
      </c>
      <c r="C8" s="17">
        <f>C6+C7</f>
        <v>1162.75</v>
      </c>
      <c r="D8" s="17">
        <f>D6+D7</f>
        <v>1116.05</v>
      </c>
      <c r="E8" s="17">
        <f>E6+E7</f>
        <v>1190.1099999999999</v>
      </c>
      <c r="F8" s="17">
        <f>F6+F7</f>
        <v>832.09</v>
      </c>
      <c r="G8" s="14"/>
      <c r="H8" s="7"/>
    </row>
    <row r="9" spans="1:8" x14ac:dyDescent="0.2">
      <c r="A9" s="15">
        <v>4</v>
      </c>
      <c r="B9" s="16" t="s">
        <v>10</v>
      </c>
      <c r="C9" s="13">
        <f>C8*5%</f>
        <v>58.137500000000003</v>
      </c>
      <c r="D9" s="13">
        <f t="shared" ref="D9:F9" si="0">D8*5%</f>
        <v>55.802500000000002</v>
      </c>
      <c r="E9" s="13">
        <f t="shared" si="0"/>
        <v>59.505499999999998</v>
      </c>
      <c r="F9" s="13">
        <f t="shared" si="0"/>
        <v>41.604500000000002</v>
      </c>
      <c r="G9" s="14"/>
    </row>
    <row r="10" spans="1:8" x14ac:dyDescent="0.2">
      <c r="A10" s="15">
        <v>5</v>
      </c>
      <c r="B10" s="16" t="s">
        <v>11</v>
      </c>
      <c r="C10" s="13">
        <v>4.7</v>
      </c>
      <c r="D10" s="13">
        <v>4.7</v>
      </c>
      <c r="E10" s="13">
        <v>4.7</v>
      </c>
      <c r="F10" s="13">
        <v>4.7</v>
      </c>
      <c r="G10" s="14"/>
    </row>
    <row r="11" spans="1:8" x14ac:dyDescent="0.2">
      <c r="A11" s="18">
        <v>6</v>
      </c>
      <c r="B11" s="19" t="s">
        <v>12</v>
      </c>
      <c r="C11" s="13">
        <v>3</v>
      </c>
      <c r="D11" s="13">
        <v>3</v>
      </c>
      <c r="E11" s="13">
        <v>3</v>
      </c>
      <c r="F11" s="13">
        <v>2</v>
      </c>
      <c r="G11" s="14"/>
    </row>
    <row r="12" spans="1:8" x14ac:dyDescent="0.2">
      <c r="A12" s="18">
        <v>7</v>
      </c>
      <c r="B12" s="19" t="s">
        <v>13</v>
      </c>
      <c r="C12" s="17">
        <v>20</v>
      </c>
      <c r="D12" s="17">
        <v>10</v>
      </c>
      <c r="E12" s="17">
        <v>20</v>
      </c>
      <c r="F12" s="17">
        <v>20</v>
      </c>
      <c r="G12" s="14"/>
    </row>
    <row r="13" spans="1:8" x14ac:dyDescent="0.2">
      <c r="A13" s="15">
        <v>8</v>
      </c>
      <c r="B13" s="16" t="s">
        <v>14</v>
      </c>
      <c r="C13" s="13">
        <v>2</v>
      </c>
      <c r="D13" s="13">
        <v>2</v>
      </c>
      <c r="E13" s="13">
        <v>2</v>
      </c>
      <c r="F13" s="13">
        <v>2</v>
      </c>
      <c r="G13" s="14"/>
    </row>
    <row r="14" spans="1:8" x14ac:dyDescent="0.2">
      <c r="A14" s="15">
        <v>9</v>
      </c>
      <c r="B14" s="16" t="s">
        <v>15</v>
      </c>
      <c r="C14" s="13">
        <v>2</v>
      </c>
      <c r="D14" s="13">
        <v>2</v>
      </c>
      <c r="E14" s="13">
        <v>2</v>
      </c>
      <c r="F14" s="13">
        <v>2</v>
      </c>
      <c r="G14" s="14"/>
    </row>
    <row r="15" spans="1:8" x14ac:dyDescent="0.2">
      <c r="A15" s="15">
        <v>10</v>
      </c>
      <c r="B15" s="16" t="s">
        <v>16</v>
      </c>
      <c r="C15" s="13">
        <f>5.68+7.8</f>
        <v>13.48</v>
      </c>
      <c r="D15" s="13">
        <f>4.96+7.8</f>
        <v>12.76</v>
      </c>
      <c r="E15" s="13">
        <f>5.51+7.8</f>
        <v>13.309999999999999</v>
      </c>
      <c r="F15" s="13">
        <f>3.07+7.8</f>
        <v>10.87</v>
      </c>
      <c r="G15" s="14"/>
    </row>
    <row r="16" spans="1:8" x14ac:dyDescent="0.2">
      <c r="A16" s="15">
        <v>11</v>
      </c>
      <c r="B16" s="16" t="s">
        <v>17</v>
      </c>
      <c r="C16" s="17">
        <f>SUM(C8:C15)</f>
        <v>1266.0675000000001</v>
      </c>
      <c r="D16" s="17">
        <f>SUM(D8:D15)</f>
        <v>1206.3125</v>
      </c>
      <c r="E16" s="17">
        <f>SUM(E8:E15)</f>
        <v>1294.6254999999999</v>
      </c>
      <c r="F16" s="17">
        <f>SUM(F8:F15)</f>
        <v>915.26450000000011</v>
      </c>
      <c r="G16" s="14"/>
    </row>
    <row r="17" spans="1:8" x14ac:dyDescent="0.2">
      <c r="A17" s="15">
        <v>12</v>
      </c>
      <c r="B17" s="16" t="s">
        <v>18</v>
      </c>
      <c r="C17" s="17">
        <v>1362</v>
      </c>
      <c r="D17" s="17">
        <v>1162.24</v>
      </c>
      <c r="E17" s="17">
        <v>1248.5</v>
      </c>
      <c r="F17" s="17">
        <v>1071.44</v>
      </c>
      <c r="G17" s="14"/>
    </row>
    <row r="18" spans="1:8" x14ac:dyDescent="0.2">
      <c r="A18" s="15">
        <v>13</v>
      </c>
      <c r="B18" s="16" t="s">
        <v>19</v>
      </c>
      <c r="C18" s="17">
        <f>C16/C17</f>
        <v>0.92956497797356841</v>
      </c>
      <c r="D18" s="17">
        <f>D16/D17</f>
        <v>1.03792030905837</v>
      </c>
      <c r="E18" s="17">
        <f>E16/E17</f>
        <v>1.0369447336804165</v>
      </c>
      <c r="F18" s="17">
        <f>F16/F17</f>
        <v>0.85423775479728226</v>
      </c>
      <c r="G18" s="14"/>
    </row>
    <row r="19" spans="1:8" ht="17.25" customHeight="1" x14ac:dyDescent="0.2">
      <c r="A19" s="20">
        <v>14</v>
      </c>
      <c r="B19" s="21" t="s">
        <v>20</v>
      </c>
      <c r="C19" s="22">
        <v>11918.69</v>
      </c>
      <c r="D19" s="22">
        <v>11918.69</v>
      </c>
      <c r="E19" s="22">
        <v>11918.69</v>
      </c>
      <c r="F19" s="22">
        <v>11918.69</v>
      </c>
      <c r="G19" s="14"/>
    </row>
    <row r="20" spans="1:8" x14ac:dyDescent="0.2">
      <c r="A20" s="15">
        <v>15</v>
      </c>
      <c r="B20" s="12" t="s">
        <v>21</v>
      </c>
      <c r="C20" s="17">
        <f>C18*C19</f>
        <v>11079.196807323791</v>
      </c>
      <c r="D20" s="17">
        <f>D18*D19</f>
        <v>12370.650408370904</v>
      </c>
      <c r="E20" s="17">
        <f>E18*E19</f>
        <v>12359.022827869443</v>
      </c>
      <c r="F20" s="17">
        <f>F18*F19</f>
        <v>10181.394985724821</v>
      </c>
      <c r="G20" s="14"/>
    </row>
    <row r="21" spans="1:8" x14ac:dyDescent="0.2">
      <c r="A21" s="15">
        <v>16</v>
      </c>
      <c r="B21" s="12" t="s">
        <v>22</v>
      </c>
      <c r="C21" s="13">
        <f>1115.37+250+100+350</f>
        <v>1815.37</v>
      </c>
      <c r="D21" s="13">
        <f>967.41+250+250+350</f>
        <v>1817.4099999999999</v>
      </c>
      <c r="E21" s="13">
        <f>984.79+250+350</f>
        <v>1584.79</v>
      </c>
      <c r="F21" s="13">
        <f>526.95+250+240+350</f>
        <v>1366.95</v>
      </c>
      <c r="G21" s="14"/>
    </row>
    <row r="22" spans="1:8" x14ac:dyDescent="0.2">
      <c r="A22" s="23">
        <v>17</v>
      </c>
      <c r="B22" s="24" t="s">
        <v>23</v>
      </c>
      <c r="C22" s="17">
        <v>350</v>
      </c>
      <c r="D22" s="17">
        <v>150</v>
      </c>
      <c r="E22" s="17">
        <v>273.52</v>
      </c>
      <c r="F22" s="17">
        <v>350</v>
      </c>
      <c r="G22" s="14"/>
    </row>
    <row r="23" spans="1:8" x14ac:dyDescent="0.2">
      <c r="A23" s="15">
        <v>18</v>
      </c>
      <c r="B23" s="12" t="s">
        <v>24</v>
      </c>
      <c r="C23" s="13">
        <v>55</v>
      </c>
      <c r="D23" s="13">
        <v>55</v>
      </c>
      <c r="E23" s="13">
        <v>55</v>
      </c>
      <c r="F23" s="13">
        <v>0</v>
      </c>
      <c r="G23" s="14"/>
    </row>
    <row r="24" spans="1:8" x14ac:dyDescent="0.2">
      <c r="A24" s="25">
        <v>19</v>
      </c>
      <c r="B24" s="26" t="s">
        <v>25</v>
      </c>
      <c r="C24" s="17">
        <f>1059.57-494.62+570.11</f>
        <v>1135.06</v>
      </c>
      <c r="D24" s="17">
        <v>41.57</v>
      </c>
      <c r="E24" s="17">
        <v>657.67</v>
      </c>
      <c r="F24" s="17">
        <f>2291.87+230.09+579.7</f>
        <v>3101.66</v>
      </c>
      <c r="G24" s="27"/>
      <c r="H24" s="28"/>
    </row>
    <row r="25" spans="1:8" x14ac:dyDescent="0.2">
      <c r="A25" s="15">
        <v>20</v>
      </c>
      <c r="B25" s="12" t="s">
        <v>26</v>
      </c>
      <c r="C25" s="13">
        <v>495.37</v>
      </c>
      <c r="D25" s="13">
        <v>495.37</v>
      </c>
      <c r="E25" s="13">
        <v>0</v>
      </c>
      <c r="F25" s="13">
        <v>0</v>
      </c>
      <c r="G25" s="27"/>
      <c r="H25" s="29"/>
    </row>
    <row r="26" spans="1:8" x14ac:dyDescent="0.2">
      <c r="A26" s="15">
        <v>21</v>
      </c>
      <c r="B26" s="12" t="s">
        <v>27</v>
      </c>
      <c r="C26" s="13">
        <v>70</v>
      </c>
      <c r="D26" s="13">
        <v>70</v>
      </c>
      <c r="E26" s="13">
        <v>70</v>
      </c>
      <c r="F26" s="30">
        <v>0</v>
      </c>
      <c r="G26" s="14"/>
    </row>
    <row r="27" spans="1:8" s="32" customFormat="1" x14ac:dyDescent="0.2">
      <c r="A27" s="23">
        <v>22</v>
      </c>
      <c r="B27" s="24" t="s">
        <v>28</v>
      </c>
      <c r="C27" s="17">
        <v>0</v>
      </c>
      <c r="D27" s="17">
        <v>0</v>
      </c>
      <c r="E27" s="17">
        <v>0</v>
      </c>
      <c r="F27" s="17">
        <v>0</v>
      </c>
      <c r="G27" s="31"/>
    </row>
    <row r="28" spans="1:8" x14ac:dyDescent="0.2">
      <c r="A28" s="15">
        <v>23</v>
      </c>
      <c r="B28" s="50" t="s">
        <v>29</v>
      </c>
      <c r="C28" s="13">
        <v>0</v>
      </c>
      <c r="D28" s="13">
        <v>0</v>
      </c>
      <c r="E28" s="13">
        <v>0</v>
      </c>
      <c r="F28" s="13">
        <v>0</v>
      </c>
      <c r="G28" s="27"/>
      <c r="H28" s="28"/>
    </row>
    <row r="29" spans="1:8" ht="20.25" customHeight="1" x14ac:dyDescent="0.2">
      <c r="A29" s="33">
        <v>24</v>
      </c>
      <c r="B29" s="34" t="s">
        <v>30</v>
      </c>
      <c r="C29" s="35">
        <f>SUM(C20:C28)</f>
        <v>14999.996807323791</v>
      </c>
      <c r="D29" s="35">
        <f>SUM(D20:D28)</f>
        <v>15000.000408370905</v>
      </c>
      <c r="E29" s="35">
        <f>SUM(E20:E28)</f>
        <v>15000.002827869443</v>
      </c>
      <c r="F29" s="35">
        <f>SUM(F20:F28)</f>
        <v>15000.004985724821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ht="14.25" customHeight="1" x14ac:dyDescent="0.2">
      <c r="A31" s="43"/>
      <c r="B31" s="36"/>
      <c r="C31" s="51"/>
      <c r="D31" s="51"/>
      <c r="E31" s="51"/>
      <c r="F31" s="51"/>
      <c r="G31" s="38"/>
    </row>
    <row r="32" spans="1:8" ht="14.25" customHeight="1" x14ac:dyDescent="0.2">
      <c r="A32" s="44"/>
      <c r="B32" s="170" t="s">
        <v>39</v>
      </c>
      <c r="C32" s="170"/>
      <c r="D32" s="170"/>
      <c r="E32" s="170"/>
      <c r="F32" s="45"/>
      <c r="G32" s="38"/>
    </row>
    <row r="33" spans="1:7" ht="14.25" customHeight="1" x14ac:dyDescent="0.2">
      <c r="A33" s="6"/>
      <c r="B33" s="171" t="s">
        <v>40</v>
      </c>
      <c r="C33" s="171"/>
      <c r="D33" s="171"/>
      <c r="E33" s="171"/>
      <c r="F33" s="6"/>
      <c r="G33" s="38"/>
    </row>
    <row r="34" spans="1:7" ht="14.25" customHeight="1" x14ac:dyDescent="0.2">
      <c r="A34" s="6"/>
      <c r="B34" s="46"/>
      <c r="C34" s="46"/>
      <c r="D34" s="46"/>
      <c r="E34" s="46"/>
      <c r="F34" s="6"/>
      <c r="G34" s="38"/>
    </row>
    <row r="35" spans="1:7" ht="14.25" customHeight="1" x14ac:dyDescent="0.2">
      <c r="A35" s="6"/>
      <c r="B35" s="46"/>
      <c r="C35" s="52"/>
      <c r="D35" s="46"/>
      <c r="E35" s="46"/>
      <c r="F35" s="6"/>
      <c r="G35" s="38"/>
    </row>
  </sheetData>
  <mergeCells count="3">
    <mergeCell ref="B4:F4"/>
    <mergeCell ref="B32:E32"/>
    <mergeCell ref="B33:E33"/>
  </mergeCells>
  <pageMargins left="0.5" right="0.3" top="0" bottom="0" header="0.3" footer="0.3"/>
  <pageSetup paperSize="9" scale="1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9E39-C266-4671-B2CD-5CB0E574B167}">
  <dimension ref="A1:I35"/>
  <sheetViews>
    <sheetView zoomScale="110" zoomScaleNormal="110" workbookViewId="0">
      <selection activeCell="H11" sqref="H11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</cols>
  <sheetData>
    <row r="1" spans="1:8" x14ac:dyDescent="0.2">
      <c r="E1" s="7"/>
      <c r="F1" s="53"/>
      <c r="H1" s="49"/>
    </row>
    <row r="2" spans="1:8" x14ac:dyDescent="0.2">
      <c r="E2" s="7"/>
      <c r="F2" s="53"/>
      <c r="H2" s="49"/>
    </row>
    <row r="3" spans="1:8" x14ac:dyDescent="0.2">
      <c r="E3" s="7"/>
      <c r="F3" s="53"/>
      <c r="H3" s="49"/>
    </row>
    <row r="4" spans="1:8" x14ac:dyDescent="0.2">
      <c r="E4" s="7"/>
      <c r="F4" s="53"/>
      <c r="H4" s="49"/>
    </row>
    <row r="5" spans="1:8" x14ac:dyDescent="0.2">
      <c r="A5" s="3"/>
      <c r="B5" s="169" t="s">
        <v>45</v>
      </c>
      <c r="C5" s="169"/>
      <c r="D5" s="169"/>
      <c r="E5" s="169"/>
      <c r="F5" s="169"/>
      <c r="G5" s="54"/>
      <c r="H5" s="7"/>
    </row>
    <row r="6" spans="1:8" x14ac:dyDescent="0.2">
      <c r="A6" s="5" t="s">
        <v>1</v>
      </c>
      <c r="B6" s="55" t="s">
        <v>2</v>
      </c>
      <c r="C6" s="5" t="s">
        <v>3</v>
      </c>
      <c r="D6" s="5" t="s">
        <v>4</v>
      </c>
      <c r="E6" s="5" t="s">
        <v>5</v>
      </c>
      <c r="F6" s="5" t="s">
        <v>6</v>
      </c>
      <c r="H6" s="7"/>
    </row>
    <row r="7" spans="1:8" x14ac:dyDescent="0.2">
      <c r="A7" s="56">
        <v>1</v>
      </c>
      <c r="B7" s="71" t="s">
        <v>46</v>
      </c>
      <c r="C7" s="72">
        <v>1227.46</v>
      </c>
      <c r="D7" s="72">
        <v>1087.3</v>
      </c>
      <c r="E7" s="72">
        <v>1265.46</v>
      </c>
      <c r="F7" s="72">
        <v>645.86</v>
      </c>
      <c r="H7" s="7"/>
    </row>
    <row r="8" spans="1:8" x14ac:dyDescent="0.2">
      <c r="A8" s="57">
        <v>2</v>
      </c>
      <c r="B8" s="69" t="s">
        <v>8</v>
      </c>
      <c r="C8" s="13">
        <v>86.5</v>
      </c>
      <c r="D8" s="13">
        <f>63+22</f>
        <v>85</v>
      </c>
      <c r="E8" s="13">
        <f>63+6</f>
        <v>69</v>
      </c>
      <c r="F8" s="13">
        <f>81.5+17</f>
        <v>98.5</v>
      </c>
      <c r="G8" s="58"/>
      <c r="H8" s="7"/>
    </row>
    <row r="9" spans="1:8" x14ac:dyDescent="0.2">
      <c r="A9" s="57">
        <v>3</v>
      </c>
      <c r="B9" s="12" t="s">
        <v>9</v>
      </c>
      <c r="C9" s="13">
        <f>C7+C8</f>
        <v>1313.96</v>
      </c>
      <c r="D9" s="13">
        <f>D7+D8</f>
        <v>1172.3</v>
      </c>
      <c r="E9" s="13">
        <f>E7+E8</f>
        <v>1334.46</v>
      </c>
      <c r="F9" s="13">
        <f>F7+F8</f>
        <v>744.36</v>
      </c>
      <c r="G9" s="58"/>
      <c r="H9" s="7"/>
    </row>
    <row r="10" spans="1:8" x14ac:dyDescent="0.2">
      <c r="A10" s="57">
        <v>4</v>
      </c>
      <c r="B10" s="12" t="s">
        <v>10</v>
      </c>
      <c r="C10" s="13">
        <f>C9*5%</f>
        <v>65.698000000000008</v>
      </c>
      <c r="D10" s="13">
        <f>D9*5%</f>
        <v>58.615000000000002</v>
      </c>
      <c r="E10" s="13">
        <f>E9*5%</f>
        <v>66.722999999999999</v>
      </c>
      <c r="F10" s="13">
        <f>F9*5%</f>
        <v>37.218000000000004</v>
      </c>
      <c r="G10" s="58"/>
      <c r="H10" s="7"/>
    </row>
    <row r="11" spans="1:8" x14ac:dyDescent="0.2">
      <c r="A11" s="15">
        <v>5</v>
      </c>
      <c r="B11" s="12" t="s">
        <v>11</v>
      </c>
      <c r="C11" s="13">
        <v>4.7</v>
      </c>
      <c r="D11" s="13">
        <v>4.7</v>
      </c>
      <c r="E11" s="13">
        <v>4.7</v>
      </c>
      <c r="F11" s="13">
        <v>4.7</v>
      </c>
      <c r="G11" s="58"/>
      <c r="H11" s="7"/>
    </row>
    <row r="12" spans="1:8" x14ac:dyDescent="0.2">
      <c r="A12" s="59">
        <v>6</v>
      </c>
      <c r="B12" s="70" t="s">
        <v>12</v>
      </c>
      <c r="C12" s="13">
        <v>3</v>
      </c>
      <c r="D12" s="13">
        <v>3</v>
      </c>
      <c r="E12" s="13">
        <v>3</v>
      </c>
      <c r="F12" s="13">
        <v>2</v>
      </c>
      <c r="G12" s="60"/>
      <c r="H12" s="49"/>
    </row>
    <row r="13" spans="1:8" x14ac:dyDescent="0.2">
      <c r="A13" s="59">
        <v>7</v>
      </c>
      <c r="B13" s="70" t="s">
        <v>13</v>
      </c>
      <c r="C13" s="13">
        <v>20</v>
      </c>
      <c r="D13" s="13">
        <v>10</v>
      </c>
      <c r="E13" s="13">
        <v>20</v>
      </c>
      <c r="F13" s="13">
        <v>20</v>
      </c>
      <c r="G13" s="60"/>
    </row>
    <row r="14" spans="1:8" x14ac:dyDescent="0.2">
      <c r="A14" s="15">
        <v>8</v>
      </c>
      <c r="B14" s="12" t="s">
        <v>14</v>
      </c>
      <c r="C14" s="13">
        <v>2</v>
      </c>
      <c r="D14" s="13">
        <v>2</v>
      </c>
      <c r="E14" s="13">
        <v>2</v>
      </c>
      <c r="F14" s="13">
        <v>2</v>
      </c>
      <c r="G14" s="60"/>
    </row>
    <row r="15" spans="1:8" x14ac:dyDescent="0.2">
      <c r="A15" s="15">
        <v>9</v>
      </c>
      <c r="B15" s="12" t="s">
        <v>15</v>
      </c>
      <c r="C15" s="13">
        <v>2</v>
      </c>
      <c r="D15" s="13">
        <v>2</v>
      </c>
      <c r="E15" s="13">
        <v>2</v>
      </c>
      <c r="F15" s="13">
        <v>2</v>
      </c>
      <c r="G15" s="60"/>
    </row>
    <row r="16" spans="1:8" x14ac:dyDescent="0.2">
      <c r="A16" s="15">
        <v>10</v>
      </c>
      <c r="B16" s="12" t="s">
        <v>16</v>
      </c>
      <c r="C16" s="13">
        <f>5.68+7.8</f>
        <v>13.48</v>
      </c>
      <c r="D16" s="13">
        <f>4.96+7.8</f>
        <v>12.76</v>
      </c>
      <c r="E16" s="13">
        <f>5.51+7.8</f>
        <v>13.309999999999999</v>
      </c>
      <c r="F16" s="13">
        <f>3.07+7.8</f>
        <v>10.87</v>
      </c>
      <c r="G16" s="60"/>
    </row>
    <row r="17" spans="1:9" x14ac:dyDescent="0.2">
      <c r="A17" s="15">
        <v>11</v>
      </c>
      <c r="B17" s="12" t="s">
        <v>17</v>
      </c>
      <c r="C17" s="13">
        <f>SUM(C9:C16)</f>
        <v>1424.8380000000002</v>
      </c>
      <c r="D17" s="13">
        <f>SUM(D9:D16)</f>
        <v>1265.375</v>
      </c>
      <c r="E17" s="13">
        <f>SUM(E9:E16)</f>
        <v>1446.193</v>
      </c>
      <c r="F17" s="13">
        <f>SUM(F9:F16)</f>
        <v>823.14800000000002</v>
      </c>
      <c r="G17" s="60"/>
    </row>
    <row r="18" spans="1:9" x14ac:dyDescent="0.2">
      <c r="A18" s="15">
        <v>12</v>
      </c>
      <c r="B18" s="12" t="s">
        <v>18</v>
      </c>
      <c r="C18" s="13">
        <v>1362</v>
      </c>
      <c r="D18" s="13">
        <v>1162.24</v>
      </c>
      <c r="E18" s="13">
        <v>1248.5</v>
      </c>
      <c r="F18" s="13">
        <v>1071.44</v>
      </c>
      <c r="G18" s="60"/>
    </row>
    <row r="19" spans="1:9" x14ac:dyDescent="0.2">
      <c r="A19" s="15">
        <v>13</v>
      </c>
      <c r="B19" s="12" t="s">
        <v>19</v>
      </c>
      <c r="C19" s="13">
        <f>C17/C18</f>
        <v>1.0461365638766522</v>
      </c>
      <c r="D19" s="13">
        <f>D17/D18</f>
        <v>1.088738126376652</v>
      </c>
      <c r="E19" s="13">
        <f>E17/E18</f>
        <v>1.1583444132959551</v>
      </c>
      <c r="F19" s="13">
        <f>F17/F18</f>
        <v>0.76826327185843346</v>
      </c>
      <c r="G19" s="60"/>
    </row>
    <row r="20" spans="1:9" x14ac:dyDescent="0.2">
      <c r="A20" s="57">
        <v>14</v>
      </c>
      <c r="B20" s="12" t="s">
        <v>20</v>
      </c>
      <c r="C20" s="13">
        <v>13304.86</v>
      </c>
      <c r="D20" s="13">
        <v>13304.86</v>
      </c>
      <c r="E20" s="13">
        <v>13304.86</v>
      </c>
      <c r="F20" s="13">
        <v>13304.86</v>
      </c>
      <c r="G20" s="60"/>
    </row>
    <row r="21" spans="1:9" x14ac:dyDescent="0.2">
      <c r="A21" s="15">
        <v>15</v>
      </c>
      <c r="B21" s="12" t="s">
        <v>21</v>
      </c>
      <c r="C21" s="13">
        <f>C19*C20</f>
        <v>13918.700523259915</v>
      </c>
      <c r="D21" s="13">
        <f>D19*D20</f>
        <v>14485.508348103664</v>
      </c>
      <c r="E21" s="13">
        <f>E19*E20</f>
        <v>15411.610250684822</v>
      </c>
      <c r="F21" s="13">
        <f>F19*F20</f>
        <v>10221.635275218398</v>
      </c>
      <c r="G21" s="60"/>
    </row>
    <row r="22" spans="1:9" x14ac:dyDescent="0.2">
      <c r="A22" s="57">
        <v>16</v>
      </c>
      <c r="B22" s="12" t="s">
        <v>22</v>
      </c>
      <c r="C22" s="13">
        <f>1115.37+250+100+350+50+50</f>
        <v>1915.37</v>
      </c>
      <c r="D22" s="13">
        <f>967.41+250+250+350+50+50</f>
        <v>1917.4099999999999</v>
      </c>
      <c r="E22" s="13">
        <f>984.79+250+350+50</f>
        <v>1634.79</v>
      </c>
      <c r="F22" s="13">
        <f>526.95+250+240+350+50</f>
        <v>1416.95</v>
      </c>
      <c r="G22" s="60"/>
    </row>
    <row r="23" spans="1:9" x14ac:dyDescent="0.2">
      <c r="A23" s="15">
        <v>17</v>
      </c>
      <c r="B23" s="12" t="s">
        <v>23</v>
      </c>
      <c r="C23" s="13">
        <v>281.38</v>
      </c>
      <c r="D23" s="13">
        <f>201.51-137.15</f>
        <v>64.359999999999985</v>
      </c>
      <c r="E23" s="13">
        <f>407.97-393.52</f>
        <v>14.450000000000045</v>
      </c>
      <c r="F23" s="13">
        <f>405.48+1832.03</f>
        <v>2237.5100000000002</v>
      </c>
      <c r="G23" s="60"/>
      <c r="H23" s="29"/>
    </row>
    <row r="24" spans="1:9" x14ac:dyDescent="0.2">
      <c r="A24" s="57">
        <v>18</v>
      </c>
      <c r="B24" s="12" t="s">
        <v>24</v>
      </c>
      <c r="C24" s="13">
        <v>55</v>
      </c>
      <c r="D24" s="13">
        <v>55</v>
      </c>
      <c r="E24" s="13">
        <v>55</v>
      </c>
      <c r="F24" s="13">
        <v>0</v>
      </c>
      <c r="G24" s="60"/>
      <c r="H24" s="29"/>
    </row>
    <row r="25" spans="1:9" x14ac:dyDescent="0.2">
      <c r="A25" s="57">
        <v>19</v>
      </c>
      <c r="B25" s="12" t="s">
        <v>25</v>
      </c>
      <c r="C25" s="13">
        <v>1059.57</v>
      </c>
      <c r="D25" s="13">
        <v>826.37</v>
      </c>
      <c r="E25" s="13">
        <f>1207.67-393.52</f>
        <v>814.15000000000009</v>
      </c>
      <c r="F25" s="13">
        <f>2291.87+1832.03</f>
        <v>4123.8999999999996</v>
      </c>
      <c r="G25" s="28"/>
    </row>
    <row r="26" spans="1:9" x14ac:dyDescent="0.2">
      <c r="A26" s="15">
        <v>20</v>
      </c>
      <c r="B26" s="12" t="s">
        <v>26</v>
      </c>
      <c r="C26" s="13">
        <f>495.37</f>
        <v>495.37</v>
      </c>
      <c r="D26" s="13">
        <f>495.37</f>
        <v>495.37</v>
      </c>
      <c r="E26" s="13">
        <v>0</v>
      </c>
      <c r="F26" s="13">
        <v>0</v>
      </c>
      <c r="G26" s="28"/>
      <c r="H26" s="49"/>
    </row>
    <row r="27" spans="1:9" x14ac:dyDescent="0.2">
      <c r="A27" s="57">
        <v>21</v>
      </c>
      <c r="B27" s="12" t="s">
        <v>27</v>
      </c>
      <c r="C27" s="13">
        <v>70</v>
      </c>
      <c r="D27" s="13">
        <v>70</v>
      </c>
      <c r="E27" s="13">
        <v>70</v>
      </c>
      <c r="F27" s="30">
        <v>0</v>
      </c>
      <c r="G27" s="60"/>
      <c r="H27" s="49"/>
    </row>
    <row r="28" spans="1:9" x14ac:dyDescent="0.2">
      <c r="A28" s="15">
        <v>22</v>
      </c>
      <c r="B28" s="12" t="s">
        <v>28</v>
      </c>
      <c r="C28" s="13">
        <f>227.7-23.09</f>
        <v>204.60999999999999</v>
      </c>
      <c r="D28" s="13">
        <f>385.98-300</f>
        <v>85.980000000000018</v>
      </c>
      <c r="E28" s="13">
        <f>513.85-513.85</f>
        <v>0</v>
      </c>
      <c r="F28" s="13">
        <v>0</v>
      </c>
      <c r="G28" s="60"/>
      <c r="H28" s="61"/>
      <c r="I28" s="62"/>
    </row>
    <row r="29" spans="1:9" x14ac:dyDescent="0.2">
      <c r="A29" s="63">
        <v>23</v>
      </c>
      <c r="B29" s="12" t="s">
        <v>29</v>
      </c>
      <c r="C29" s="13">
        <v>0</v>
      </c>
      <c r="D29" s="13">
        <v>0</v>
      </c>
      <c r="E29" s="13">
        <v>0</v>
      </c>
      <c r="F29" s="13">
        <v>0</v>
      </c>
      <c r="G29" s="28"/>
      <c r="H29" s="64"/>
    </row>
    <row r="30" spans="1:9" ht="20.25" customHeight="1" x14ac:dyDescent="0.2">
      <c r="A30" s="65">
        <v>24</v>
      </c>
      <c r="B30" s="21" t="s">
        <v>47</v>
      </c>
      <c r="C30" s="35">
        <f>SUM(C21:C29)</f>
        <v>18000.000523259914</v>
      </c>
      <c r="D30" s="35">
        <f>SUM(D21:D29)</f>
        <v>17999.998348103662</v>
      </c>
      <c r="E30" s="35">
        <f>SUM(E21:E29)</f>
        <v>18000.000250684825</v>
      </c>
      <c r="F30" s="35">
        <f>SUM(F21:F29)</f>
        <v>17999.995275218396</v>
      </c>
      <c r="G30" s="58"/>
      <c r="I30" s="7"/>
    </row>
    <row r="31" spans="1:9" ht="16.5" customHeight="1" x14ac:dyDescent="0.2">
      <c r="A31" s="3"/>
      <c r="B31" s="36"/>
      <c r="C31" s="37"/>
      <c r="D31" s="37"/>
      <c r="E31" s="37"/>
      <c r="F31" s="37"/>
      <c r="G31" s="7"/>
      <c r="I31" s="7"/>
    </row>
    <row r="32" spans="1:9" x14ac:dyDescent="0.2">
      <c r="A32" s="66"/>
      <c r="B32" s="67"/>
      <c r="C32" s="67"/>
      <c r="D32" s="67"/>
      <c r="E32" s="67"/>
      <c r="F32" s="67"/>
    </row>
    <row r="33" spans="1:6" ht="16.5" x14ac:dyDescent="0.2">
      <c r="A33" s="172" t="s">
        <v>48</v>
      </c>
      <c r="B33" s="172"/>
      <c r="C33" s="172"/>
      <c r="D33" s="172"/>
      <c r="E33" s="172"/>
      <c r="F33" s="172"/>
    </row>
    <row r="34" spans="1:6" x14ac:dyDescent="0.2">
      <c r="A34" s="172" t="s">
        <v>40</v>
      </c>
      <c r="B34" s="172"/>
      <c r="C34" s="172"/>
      <c r="D34" s="172"/>
      <c r="E34" s="172"/>
      <c r="F34" s="172"/>
    </row>
    <row r="35" spans="1:6" x14ac:dyDescent="0.2">
      <c r="A35" s="68"/>
      <c r="B35" s="68"/>
      <c r="C35" s="68"/>
      <c r="D35" s="68"/>
      <c r="E35" s="68"/>
      <c r="F35" s="68"/>
    </row>
  </sheetData>
  <mergeCells count="3">
    <mergeCell ref="B5:F5"/>
    <mergeCell ref="A33:F33"/>
    <mergeCell ref="A34:F34"/>
  </mergeCells>
  <pageMargins left="0.5" right="0.3" top="0" bottom="0" header="0.3" footer="0.3"/>
  <pageSetup paperSize="9" scale="78" orientation="landscape" r:id="rId1"/>
  <rowBreaks count="1" manualBreakCount="1">
    <brk id="34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792B5-A329-494E-8996-414F4FBAA178}">
  <dimension ref="A1:I34"/>
  <sheetViews>
    <sheetView topLeftCell="A4" zoomScale="108" zoomScaleNormal="110" workbookViewId="0">
      <selection activeCell="H30" sqref="H30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</cols>
  <sheetData>
    <row r="1" spans="1:8" x14ac:dyDescent="0.2">
      <c r="E1" s="7"/>
      <c r="F1" s="73"/>
      <c r="H1" s="49"/>
    </row>
    <row r="2" spans="1:8" ht="15.75" customHeight="1" x14ac:dyDescent="0.2">
      <c r="E2" s="74"/>
      <c r="F2" s="74"/>
      <c r="G2" s="74"/>
      <c r="H2" s="49"/>
    </row>
    <row r="3" spans="1:8" ht="15.75" customHeight="1" x14ac:dyDescent="0.2">
      <c r="E3" s="74"/>
      <c r="F3" s="74"/>
      <c r="G3" s="74"/>
      <c r="H3" s="49"/>
    </row>
    <row r="4" spans="1:8" x14ac:dyDescent="0.2">
      <c r="E4" s="7"/>
      <c r="F4" s="53"/>
      <c r="H4" s="49"/>
    </row>
    <row r="5" spans="1:8" ht="15.75" x14ac:dyDescent="0.2">
      <c r="A5" s="75"/>
      <c r="B5" s="173" t="s">
        <v>57</v>
      </c>
      <c r="C5" s="173"/>
      <c r="D5" s="173"/>
      <c r="E5" s="173"/>
      <c r="F5" s="173"/>
      <c r="G5" s="54"/>
      <c r="H5" s="7"/>
    </row>
    <row r="6" spans="1:8" x14ac:dyDescent="0.2">
      <c r="A6" s="76" t="s">
        <v>1</v>
      </c>
      <c r="B6" s="77" t="s">
        <v>2</v>
      </c>
      <c r="C6" s="76" t="s">
        <v>3</v>
      </c>
      <c r="D6" s="76" t="s">
        <v>4</v>
      </c>
      <c r="E6" s="76" t="s">
        <v>5</v>
      </c>
      <c r="F6" s="76" t="s">
        <v>6</v>
      </c>
      <c r="H6" s="7"/>
    </row>
    <row r="7" spans="1:8" x14ac:dyDescent="0.2">
      <c r="A7" s="78">
        <v>1</v>
      </c>
      <c r="B7" s="79" t="s">
        <v>58</v>
      </c>
      <c r="C7" s="80">
        <v>1364.95</v>
      </c>
      <c r="D7" s="80">
        <v>1303.4100000000001</v>
      </c>
      <c r="E7" s="80">
        <v>1367.28</v>
      </c>
      <c r="F7" s="80">
        <v>664.2</v>
      </c>
      <c r="H7" s="7"/>
    </row>
    <row r="8" spans="1:8" x14ac:dyDescent="0.2">
      <c r="A8" s="81">
        <v>2</v>
      </c>
      <c r="B8" s="82" t="s">
        <v>8</v>
      </c>
      <c r="C8" s="83">
        <v>86.5</v>
      </c>
      <c r="D8" s="83">
        <v>148</v>
      </c>
      <c r="E8" s="83">
        <v>69</v>
      </c>
      <c r="F8" s="83">
        <v>103.5</v>
      </c>
      <c r="G8" s="58"/>
      <c r="H8" s="7"/>
    </row>
    <row r="9" spans="1:8" x14ac:dyDescent="0.2">
      <c r="A9" s="84">
        <v>3</v>
      </c>
      <c r="B9" s="85" t="s">
        <v>9</v>
      </c>
      <c r="C9" s="83">
        <v>1451.45</v>
      </c>
      <c r="D9" s="83">
        <v>1451.41</v>
      </c>
      <c r="E9" s="83">
        <v>1436.28</v>
      </c>
      <c r="F9" s="83">
        <v>767.7</v>
      </c>
      <c r="G9" s="58"/>
      <c r="H9" s="7"/>
    </row>
    <row r="10" spans="1:8" x14ac:dyDescent="0.2">
      <c r="A10" s="84">
        <v>4</v>
      </c>
      <c r="B10" s="85" t="s">
        <v>10</v>
      </c>
      <c r="C10" s="83">
        <v>72.572500000000005</v>
      </c>
      <c r="D10" s="83">
        <v>72.57050000000001</v>
      </c>
      <c r="E10" s="83">
        <v>71.814000000000007</v>
      </c>
      <c r="F10" s="83">
        <v>38.385000000000005</v>
      </c>
      <c r="G10" s="58"/>
      <c r="H10" s="7"/>
    </row>
    <row r="11" spans="1:8" x14ac:dyDescent="0.2">
      <c r="A11" s="84">
        <v>5</v>
      </c>
      <c r="B11" s="85" t="s">
        <v>11</v>
      </c>
      <c r="C11" s="83">
        <v>4.7</v>
      </c>
      <c r="D11" s="83">
        <v>4.7</v>
      </c>
      <c r="E11" s="83">
        <v>4.7</v>
      </c>
      <c r="F11" s="83">
        <v>4.7</v>
      </c>
      <c r="G11" s="58"/>
      <c r="H11" s="7"/>
    </row>
    <row r="12" spans="1:8" x14ac:dyDescent="0.2">
      <c r="A12" s="86">
        <v>6</v>
      </c>
      <c r="B12" s="87" t="s">
        <v>12</v>
      </c>
      <c r="C12" s="83">
        <v>3</v>
      </c>
      <c r="D12" s="83">
        <v>3</v>
      </c>
      <c r="E12" s="83">
        <v>3</v>
      </c>
      <c r="F12" s="83">
        <v>2</v>
      </c>
      <c r="G12" s="60"/>
      <c r="H12" s="49"/>
    </row>
    <row r="13" spans="1:8" x14ac:dyDescent="0.2">
      <c r="A13" s="86">
        <v>7</v>
      </c>
      <c r="B13" s="87" t="s">
        <v>13</v>
      </c>
      <c r="C13" s="83">
        <v>20</v>
      </c>
      <c r="D13" s="83">
        <v>10</v>
      </c>
      <c r="E13" s="83">
        <v>20</v>
      </c>
      <c r="F13" s="83">
        <v>20</v>
      </c>
      <c r="G13" s="60"/>
    </row>
    <row r="14" spans="1:8" x14ac:dyDescent="0.2">
      <c r="A14" s="84">
        <v>8</v>
      </c>
      <c r="B14" s="85" t="s">
        <v>14</v>
      </c>
      <c r="C14" s="83">
        <v>2</v>
      </c>
      <c r="D14" s="83">
        <v>2</v>
      </c>
      <c r="E14" s="83">
        <v>2</v>
      </c>
      <c r="F14" s="83">
        <v>2</v>
      </c>
      <c r="G14" s="60"/>
    </row>
    <row r="15" spans="1:8" x14ac:dyDescent="0.2">
      <c r="A15" s="84">
        <v>9</v>
      </c>
      <c r="B15" s="85" t="s">
        <v>15</v>
      </c>
      <c r="C15" s="83">
        <v>2</v>
      </c>
      <c r="D15" s="83">
        <v>2</v>
      </c>
      <c r="E15" s="83">
        <v>2</v>
      </c>
      <c r="F15" s="83">
        <v>2</v>
      </c>
      <c r="G15" s="60"/>
    </row>
    <row r="16" spans="1:8" x14ac:dyDescent="0.2">
      <c r="A16" s="84">
        <v>10</v>
      </c>
      <c r="B16" s="85" t="s">
        <v>16</v>
      </c>
      <c r="C16" s="83">
        <v>13.48</v>
      </c>
      <c r="D16" s="83">
        <v>12.76</v>
      </c>
      <c r="E16" s="83">
        <v>13.309999999999999</v>
      </c>
      <c r="F16" s="83">
        <v>10.87</v>
      </c>
      <c r="G16" s="60"/>
    </row>
    <row r="17" spans="1:9" x14ac:dyDescent="0.2">
      <c r="A17" s="84">
        <v>11</v>
      </c>
      <c r="B17" s="85" t="s">
        <v>17</v>
      </c>
      <c r="C17" s="83">
        <v>1569.2025000000001</v>
      </c>
      <c r="D17" s="83">
        <v>1558.4405000000002</v>
      </c>
      <c r="E17" s="83">
        <v>1553.104</v>
      </c>
      <c r="F17" s="83">
        <v>847.65500000000009</v>
      </c>
      <c r="G17" s="60"/>
    </row>
    <row r="18" spans="1:9" x14ac:dyDescent="0.2">
      <c r="A18" s="84">
        <v>12</v>
      </c>
      <c r="B18" s="85" t="s">
        <v>18</v>
      </c>
      <c r="C18" s="83">
        <v>1362</v>
      </c>
      <c r="D18" s="83">
        <v>1162.24</v>
      </c>
      <c r="E18" s="83">
        <v>1248.5</v>
      </c>
      <c r="F18" s="83">
        <v>1071.44</v>
      </c>
      <c r="G18" s="60"/>
    </row>
    <row r="19" spans="1:9" x14ac:dyDescent="0.2">
      <c r="A19" s="84">
        <v>13</v>
      </c>
      <c r="B19" s="85" t="s">
        <v>19</v>
      </c>
      <c r="C19" s="83">
        <v>1.1521310572687224</v>
      </c>
      <c r="D19" s="83">
        <v>1.3408938773403085</v>
      </c>
      <c r="E19" s="83">
        <v>1.2439759711653986</v>
      </c>
      <c r="F19" s="83">
        <v>0.79113622788023596</v>
      </c>
      <c r="G19" s="60"/>
    </row>
    <row r="20" spans="1:9" x14ac:dyDescent="0.2">
      <c r="A20" s="84">
        <v>14</v>
      </c>
      <c r="B20" s="85" t="s">
        <v>20</v>
      </c>
      <c r="C20" s="88">
        <v>14100</v>
      </c>
      <c r="D20" s="88">
        <v>14100</v>
      </c>
      <c r="E20" s="88">
        <v>14100</v>
      </c>
      <c r="F20" s="88">
        <v>14100</v>
      </c>
      <c r="G20" s="60"/>
    </row>
    <row r="21" spans="1:9" x14ac:dyDescent="0.2">
      <c r="A21" s="84">
        <v>15</v>
      </c>
      <c r="B21" s="85" t="s">
        <v>21</v>
      </c>
      <c r="C21" s="83">
        <v>16245.047907488986</v>
      </c>
      <c r="D21" s="83">
        <v>18906.603670498349</v>
      </c>
      <c r="E21" s="83">
        <v>17540.06119343212</v>
      </c>
      <c r="F21" s="83">
        <v>11155.020813111327</v>
      </c>
      <c r="G21" s="60"/>
    </row>
    <row r="22" spans="1:9" x14ac:dyDescent="0.2">
      <c r="A22" s="84">
        <v>16</v>
      </c>
      <c r="B22" s="85" t="s">
        <v>22</v>
      </c>
      <c r="C22" s="83">
        <v>2515.37</v>
      </c>
      <c r="D22" s="83">
        <v>1917.4099999999999</v>
      </c>
      <c r="E22" s="83">
        <v>1634.79</v>
      </c>
      <c r="F22" s="83">
        <v>1416.95</v>
      </c>
      <c r="G22" s="60"/>
    </row>
    <row r="23" spans="1:9" x14ac:dyDescent="0.2">
      <c r="A23" s="84">
        <v>17</v>
      </c>
      <c r="B23" s="85" t="s">
        <v>23</v>
      </c>
      <c r="C23" s="83">
        <v>433.94</v>
      </c>
      <c r="D23" s="83">
        <v>64.36</v>
      </c>
      <c r="E23" s="83">
        <v>1886</v>
      </c>
      <c r="F23" s="83">
        <v>5304.13</v>
      </c>
      <c r="G23" s="60"/>
      <c r="H23" s="29"/>
    </row>
    <row r="24" spans="1:9" x14ac:dyDescent="0.2">
      <c r="A24" s="84">
        <v>18</v>
      </c>
      <c r="B24" s="85" t="s">
        <v>24</v>
      </c>
      <c r="C24" s="83">
        <v>55</v>
      </c>
      <c r="D24" s="83">
        <v>55</v>
      </c>
      <c r="E24" s="83">
        <v>55</v>
      </c>
      <c r="F24" s="83">
        <v>0</v>
      </c>
      <c r="G24" s="60"/>
      <c r="H24" s="29"/>
    </row>
    <row r="25" spans="1:9" x14ac:dyDescent="0.2">
      <c r="A25" s="84">
        <v>19</v>
      </c>
      <c r="B25" s="85" t="s">
        <v>25</v>
      </c>
      <c r="C25" s="83">
        <v>1480.66</v>
      </c>
      <c r="D25" s="83">
        <v>491.26</v>
      </c>
      <c r="E25" s="83">
        <v>814.15000000000009</v>
      </c>
      <c r="F25" s="83">
        <v>4123.8999999999996</v>
      </c>
      <c r="G25" s="28"/>
    </row>
    <row r="26" spans="1:9" x14ac:dyDescent="0.2">
      <c r="A26" s="84">
        <v>20</v>
      </c>
      <c r="B26" s="85" t="s">
        <v>26</v>
      </c>
      <c r="C26" s="83">
        <v>495.37</v>
      </c>
      <c r="D26" s="83">
        <v>495.37</v>
      </c>
      <c r="E26" s="83">
        <v>0</v>
      </c>
      <c r="F26" s="83">
        <v>0</v>
      </c>
      <c r="G26" s="28"/>
      <c r="H26" s="49"/>
    </row>
    <row r="27" spans="1:9" x14ac:dyDescent="0.2">
      <c r="A27" s="84">
        <v>21</v>
      </c>
      <c r="B27" s="85" t="s">
        <v>27</v>
      </c>
      <c r="C27" s="83">
        <v>70</v>
      </c>
      <c r="D27" s="83">
        <v>70</v>
      </c>
      <c r="E27" s="83">
        <v>70</v>
      </c>
      <c r="F27" s="89">
        <v>0</v>
      </c>
      <c r="G27" s="60"/>
      <c r="H27" s="49"/>
    </row>
    <row r="28" spans="1:9" x14ac:dyDescent="0.2">
      <c r="A28" s="84">
        <v>22</v>
      </c>
      <c r="B28" s="85" t="s">
        <v>28</v>
      </c>
      <c r="C28" s="83">
        <v>704.61</v>
      </c>
      <c r="D28" s="83">
        <v>0</v>
      </c>
      <c r="E28" s="83">
        <v>0</v>
      </c>
      <c r="F28" s="83">
        <v>0</v>
      </c>
      <c r="G28" s="60"/>
      <c r="H28" s="61"/>
      <c r="I28" s="62"/>
    </row>
    <row r="29" spans="1:9" x14ac:dyDescent="0.2">
      <c r="A29" s="90">
        <v>23</v>
      </c>
      <c r="B29" s="85" t="s">
        <v>29</v>
      </c>
      <c r="C29" s="83">
        <v>0</v>
      </c>
      <c r="D29" s="83">
        <v>0</v>
      </c>
      <c r="E29" s="83">
        <v>0</v>
      </c>
      <c r="F29" s="83">
        <v>0</v>
      </c>
      <c r="G29" s="28"/>
      <c r="H29" s="91"/>
    </row>
    <row r="30" spans="1:9" s="98" customFormat="1" ht="20.25" customHeight="1" x14ac:dyDescent="0.2">
      <c r="A30" s="92">
        <v>24</v>
      </c>
      <c r="B30" s="93" t="s">
        <v>47</v>
      </c>
      <c r="C30" s="94">
        <v>21999.997907488985</v>
      </c>
      <c r="D30" s="94">
        <v>22000.003670498347</v>
      </c>
      <c r="E30" s="94">
        <v>22000.001193432123</v>
      </c>
      <c r="F30" s="94">
        <v>22000.000813111328</v>
      </c>
      <c r="G30" s="95"/>
      <c r="H30" s="96"/>
      <c r="I30" s="97"/>
    </row>
    <row r="31" spans="1:9" x14ac:dyDescent="0.2">
      <c r="A31" s="66"/>
      <c r="B31" s="67"/>
      <c r="C31" s="67"/>
      <c r="D31" s="67"/>
      <c r="E31" s="67"/>
      <c r="F31" s="67"/>
    </row>
    <row r="32" spans="1:9" ht="16.5" x14ac:dyDescent="0.2">
      <c r="A32" s="172" t="s">
        <v>48</v>
      </c>
      <c r="B32" s="172"/>
      <c r="C32" s="172"/>
      <c r="D32" s="172"/>
      <c r="E32" s="172"/>
      <c r="F32" s="172"/>
    </row>
    <row r="33" spans="1:6" x14ac:dyDescent="0.2">
      <c r="A33" s="172" t="s">
        <v>40</v>
      </c>
      <c r="B33" s="172"/>
      <c r="C33" s="172"/>
      <c r="D33" s="172"/>
      <c r="E33" s="172"/>
      <c r="F33" s="172"/>
    </row>
    <row r="34" spans="1:6" x14ac:dyDescent="0.2">
      <c r="A34" s="68"/>
      <c r="B34" s="68"/>
      <c r="C34" s="68"/>
      <c r="D34" s="68"/>
      <c r="E34" s="68"/>
      <c r="F34" s="68"/>
    </row>
  </sheetData>
  <mergeCells count="3">
    <mergeCell ref="B5:F5"/>
    <mergeCell ref="A32:F32"/>
    <mergeCell ref="A33:F33"/>
  </mergeCells>
  <pageMargins left="0.5" right="0.3" top="0" bottom="0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6D95-2473-4799-AD31-A02833A51B1A}">
  <dimension ref="A1:H36"/>
  <sheetViews>
    <sheetView zoomScaleNormal="100" workbookViewId="0">
      <selection activeCell="G15" sqref="G15"/>
    </sheetView>
  </sheetViews>
  <sheetFormatPr defaultRowHeight="15" x14ac:dyDescent="0.2"/>
  <cols>
    <col min="1" max="1" width="9.81640625" style="1" customWidth="1"/>
    <col min="2" max="2" width="61.33984375" customWidth="1"/>
    <col min="3" max="5" width="17.62109375" customWidth="1"/>
    <col min="6" max="6" width="16.41015625" customWidth="1"/>
    <col min="7" max="7" width="22.05859375" customWidth="1"/>
  </cols>
  <sheetData>
    <row r="1" spans="1:8" x14ac:dyDescent="0.2">
      <c r="F1" s="2"/>
    </row>
    <row r="2" spans="1:8" x14ac:dyDescent="0.2">
      <c r="F2" s="2"/>
    </row>
    <row r="3" spans="1:8" x14ac:dyDescent="0.2">
      <c r="F3" s="2"/>
    </row>
    <row r="4" spans="1:8" ht="26.25" customHeight="1" x14ac:dyDescent="0.2">
      <c r="A4" s="3"/>
      <c r="B4" s="169" t="s">
        <v>49</v>
      </c>
      <c r="C4" s="169"/>
      <c r="D4" s="169"/>
      <c r="E4" s="169"/>
      <c r="F4" s="169"/>
      <c r="G4" s="4"/>
    </row>
    <row r="5" spans="1:8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</row>
    <row r="6" spans="1:8" ht="20.25" customHeight="1" x14ac:dyDescent="0.2">
      <c r="A6" s="8">
        <v>1</v>
      </c>
      <c r="B6" s="9" t="s">
        <v>50</v>
      </c>
      <c r="C6" s="10">
        <v>1194.6400000000001</v>
      </c>
      <c r="D6" s="10">
        <v>1134.1400000000001</v>
      </c>
      <c r="E6" s="10">
        <v>1184.57</v>
      </c>
      <c r="F6" s="10">
        <v>574.84</v>
      </c>
      <c r="G6" s="6"/>
      <c r="H6" s="7"/>
    </row>
    <row r="7" spans="1:8" x14ac:dyDescent="0.2">
      <c r="A7" s="11">
        <v>2</v>
      </c>
      <c r="B7" s="12" t="s">
        <v>8</v>
      </c>
      <c r="C7" s="13">
        <v>86.5</v>
      </c>
      <c r="D7" s="13">
        <v>148</v>
      </c>
      <c r="E7" s="13">
        <f>63+6</f>
        <v>69</v>
      </c>
      <c r="F7" s="13">
        <v>103.5</v>
      </c>
      <c r="G7" s="14"/>
      <c r="H7" s="7"/>
    </row>
    <row r="8" spans="1:8" x14ac:dyDescent="0.2">
      <c r="A8" s="15">
        <v>3</v>
      </c>
      <c r="B8" s="16" t="s">
        <v>9</v>
      </c>
      <c r="C8" s="17">
        <f>C6+C7</f>
        <v>1281.1400000000001</v>
      </c>
      <c r="D8" s="17">
        <f>D6+D7</f>
        <v>1282.1400000000001</v>
      </c>
      <c r="E8" s="17">
        <f>E6+E7</f>
        <v>1253.57</v>
      </c>
      <c r="F8" s="17">
        <f>F6+F7</f>
        <v>678.34</v>
      </c>
      <c r="G8" s="14"/>
      <c r="H8" s="7"/>
    </row>
    <row r="9" spans="1:8" x14ac:dyDescent="0.2">
      <c r="A9" s="15">
        <v>4</v>
      </c>
      <c r="B9" s="16" t="s">
        <v>10</v>
      </c>
      <c r="C9" s="13">
        <f>C8*5%</f>
        <v>64.057000000000002</v>
      </c>
      <c r="D9" s="13">
        <f>D8*5%</f>
        <v>64.107000000000014</v>
      </c>
      <c r="E9" s="13">
        <f>E8*5%</f>
        <v>62.6785</v>
      </c>
      <c r="F9" s="13">
        <f>F8*5%</f>
        <v>33.917000000000002</v>
      </c>
      <c r="G9" s="14"/>
    </row>
    <row r="10" spans="1:8" x14ac:dyDescent="0.2">
      <c r="A10" s="15">
        <v>5</v>
      </c>
      <c r="B10" s="16" t="s">
        <v>11</v>
      </c>
      <c r="C10" s="13">
        <v>4.7</v>
      </c>
      <c r="D10" s="13">
        <v>4.7</v>
      </c>
      <c r="E10" s="13">
        <v>4.7</v>
      </c>
      <c r="F10" s="13">
        <v>4.7</v>
      </c>
      <c r="G10" s="14"/>
    </row>
    <row r="11" spans="1:8" x14ac:dyDescent="0.2">
      <c r="A11" s="18">
        <v>6</v>
      </c>
      <c r="B11" s="19" t="s">
        <v>12</v>
      </c>
      <c r="C11" s="13">
        <v>3</v>
      </c>
      <c r="D11" s="13">
        <v>3</v>
      </c>
      <c r="E11" s="13">
        <v>3</v>
      </c>
      <c r="F11" s="13">
        <v>2</v>
      </c>
      <c r="G11" s="14"/>
    </row>
    <row r="12" spans="1:8" x14ac:dyDescent="0.2">
      <c r="A12" s="18">
        <v>7</v>
      </c>
      <c r="B12" s="19" t="s">
        <v>13</v>
      </c>
      <c r="C12" s="17">
        <v>20</v>
      </c>
      <c r="D12" s="17">
        <v>20</v>
      </c>
      <c r="E12" s="17">
        <v>20</v>
      </c>
      <c r="F12" s="17">
        <v>20</v>
      </c>
      <c r="G12" s="14"/>
    </row>
    <row r="13" spans="1:8" x14ac:dyDescent="0.2">
      <c r="A13" s="15">
        <v>8</v>
      </c>
      <c r="B13" s="16" t="s">
        <v>14</v>
      </c>
      <c r="C13" s="13">
        <v>2</v>
      </c>
      <c r="D13" s="13">
        <v>2</v>
      </c>
      <c r="E13" s="13">
        <v>2</v>
      </c>
      <c r="F13" s="13">
        <v>2</v>
      </c>
      <c r="G13" s="14"/>
    </row>
    <row r="14" spans="1:8" x14ac:dyDescent="0.2">
      <c r="A14" s="15">
        <v>9</v>
      </c>
      <c r="B14" s="16" t="s">
        <v>15</v>
      </c>
      <c r="C14" s="13">
        <v>2</v>
      </c>
      <c r="D14" s="13">
        <v>2</v>
      </c>
      <c r="E14" s="13">
        <v>2</v>
      </c>
      <c r="F14" s="13">
        <v>2</v>
      </c>
      <c r="G14" s="14"/>
    </row>
    <row r="15" spans="1:8" x14ac:dyDescent="0.2">
      <c r="A15" s="15">
        <v>10</v>
      </c>
      <c r="B15" s="16" t="s">
        <v>16</v>
      </c>
      <c r="C15" s="13">
        <f>5.68+7.8</f>
        <v>13.48</v>
      </c>
      <c r="D15" s="13">
        <f>4.96+7.8</f>
        <v>12.76</v>
      </c>
      <c r="E15" s="13">
        <f>5.51+7.8</f>
        <v>13.309999999999999</v>
      </c>
      <c r="F15" s="13">
        <f>3.07+7.8</f>
        <v>10.87</v>
      </c>
      <c r="G15" s="14"/>
    </row>
    <row r="16" spans="1:8" x14ac:dyDescent="0.2">
      <c r="A16" s="15">
        <v>11</v>
      </c>
      <c r="B16" s="16" t="s">
        <v>17</v>
      </c>
      <c r="C16" s="17">
        <f>SUM(C8:C15)</f>
        <v>1390.3770000000002</v>
      </c>
      <c r="D16" s="17">
        <f>SUM(D8:D15)</f>
        <v>1390.7070000000001</v>
      </c>
      <c r="E16" s="17">
        <f>SUM(E8:E15)</f>
        <v>1361.2584999999999</v>
      </c>
      <c r="F16" s="17">
        <f>SUM(F8:F15)</f>
        <v>753.82700000000011</v>
      </c>
      <c r="G16" s="14"/>
    </row>
    <row r="17" spans="1:8" x14ac:dyDescent="0.2">
      <c r="A17" s="15">
        <v>12</v>
      </c>
      <c r="B17" s="16" t="s">
        <v>18</v>
      </c>
      <c r="C17" s="17">
        <v>1362</v>
      </c>
      <c r="D17" s="17">
        <v>1162.24</v>
      </c>
      <c r="E17" s="17">
        <v>1248.5</v>
      </c>
      <c r="F17" s="17">
        <v>1071.44</v>
      </c>
      <c r="G17" s="14"/>
    </row>
    <row r="18" spans="1:8" x14ac:dyDescent="0.2">
      <c r="A18" s="15">
        <v>13</v>
      </c>
      <c r="B18" s="16" t="s">
        <v>19</v>
      </c>
      <c r="C18" s="17">
        <f>C16/C17</f>
        <v>1.0208348017621147</v>
      </c>
      <c r="D18" s="17">
        <f>D16/D17</f>
        <v>1.1965747177863437</v>
      </c>
      <c r="E18" s="17">
        <f>E16/E17</f>
        <v>1.0903151782138565</v>
      </c>
      <c r="F18" s="17">
        <f>F16/F17</f>
        <v>0.70356436198013894</v>
      </c>
      <c r="G18" s="14"/>
    </row>
    <row r="19" spans="1:8" ht="17.25" customHeight="1" x14ac:dyDescent="0.2">
      <c r="A19" s="20">
        <v>14</v>
      </c>
      <c r="B19" s="21" t="s">
        <v>20</v>
      </c>
      <c r="C19" s="22">
        <v>13.9</v>
      </c>
      <c r="D19" s="22">
        <v>13.9</v>
      </c>
      <c r="E19" s="22">
        <v>13.9</v>
      </c>
      <c r="F19" s="22">
        <v>13.9</v>
      </c>
      <c r="G19" s="14"/>
    </row>
    <row r="20" spans="1:8" x14ac:dyDescent="0.2">
      <c r="A20" s="15">
        <v>15</v>
      </c>
      <c r="B20" s="12" t="s">
        <v>21</v>
      </c>
      <c r="C20" s="17">
        <f>C18*C19</f>
        <v>14.189603744493395</v>
      </c>
      <c r="D20" s="17">
        <f>D18*D19</f>
        <v>16.632388577230177</v>
      </c>
      <c r="E20" s="17">
        <f>E18*E19</f>
        <v>15.155380977172605</v>
      </c>
      <c r="F20" s="17">
        <f>F18*F19</f>
        <v>9.7795446315239314</v>
      </c>
      <c r="G20" s="14"/>
    </row>
    <row r="21" spans="1:8" x14ac:dyDescent="0.2">
      <c r="A21" s="15">
        <v>16</v>
      </c>
      <c r="B21" s="12" t="s">
        <v>22</v>
      </c>
      <c r="C21" s="13">
        <v>2.5153699999999999</v>
      </c>
      <c r="D21" s="13">
        <v>2.0174099999999999</v>
      </c>
      <c r="E21" s="13">
        <v>1.63479</v>
      </c>
      <c r="F21" s="13">
        <v>1.4169500000000002</v>
      </c>
      <c r="G21" s="14"/>
    </row>
    <row r="22" spans="1:8" x14ac:dyDescent="0.2">
      <c r="A22" s="23">
        <v>17</v>
      </c>
      <c r="B22" s="24" t="s">
        <v>23</v>
      </c>
      <c r="C22" s="17">
        <v>0.43393999999999999</v>
      </c>
      <c r="D22" s="17">
        <v>6.4359999999999987E-2</v>
      </c>
      <c r="E22" s="17">
        <v>1.8859999999999999</v>
      </c>
      <c r="F22" s="17">
        <v>4.6841299999999997</v>
      </c>
      <c r="G22" s="14"/>
    </row>
    <row r="23" spans="1:8" x14ac:dyDescent="0.2">
      <c r="A23" s="15">
        <v>18</v>
      </c>
      <c r="B23" s="12" t="s">
        <v>24</v>
      </c>
      <c r="C23" s="13">
        <v>0.15</v>
      </c>
      <c r="D23" s="13">
        <v>0.15</v>
      </c>
      <c r="E23" s="13">
        <v>0.15</v>
      </c>
      <c r="F23" s="13">
        <v>0</v>
      </c>
      <c r="G23" s="14"/>
    </row>
    <row r="24" spans="1:8" x14ac:dyDescent="0.2">
      <c r="A24" s="25">
        <v>19</v>
      </c>
      <c r="B24" s="26" t="s">
        <v>25</v>
      </c>
      <c r="C24" s="17">
        <v>1.4806599999999999</v>
      </c>
      <c r="D24" s="17">
        <v>0.49126000000000009</v>
      </c>
      <c r="E24" s="17">
        <v>0.81415000000000004</v>
      </c>
      <c r="F24" s="17">
        <v>4.1238999999999999</v>
      </c>
      <c r="G24" s="27"/>
      <c r="H24" s="28"/>
    </row>
    <row r="25" spans="1:8" x14ac:dyDescent="0.2">
      <c r="A25" s="15">
        <v>20</v>
      </c>
      <c r="B25" s="12" t="s">
        <v>26</v>
      </c>
      <c r="C25" s="13">
        <v>0.49536999999999998</v>
      </c>
      <c r="D25" s="13">
        <v>0.49536999999999998</v>
      </c>
      <c r="E25" s="13">
        <v>0</v>
      </c>
      <c r="F25" s="13">
        <v>0</v>
      </c>
      <c r="G25" s="27"/>
      <c r="H25" s="29"/>
    </row>
    <row r="26" spans="1:8" x14ac:dyDescent="0.2">
      <c r="A26" s="15">
        <v>21</v>
      </c>
      <c r="B26" s="12" t="s">
        <v>27</v>
      </c>
      <c r="C26" s="13">
        <v>7.0000000000000007E-2</v>
      </c>
      <c r="D26" s="13">
        <v>7.0000000000000007E-2</v>
      </c>
      <c r="E26" s="13">
        <v>7.0000000000000007E-2</v>
      </c>
      <c r="F26" s="30">
        <v>0</v>
      </c>
      <c r="G26" s="14"/>
    </row>
    <row r="27" spans="1:8" s="32" customFormat="1" x14ac:dyDescent="0.2">
      <c r="A27" s="23">
        <v>22</v>
      </c>
      <c r="B27" s="24" t="s">
        <v>28</v>
      </c>
      <c r="C27" s="17">
        <v>0.66460999999999992</v>
      </c>
      <c r="D27" s="17">
        <v>8.0000000000000057E-2</v>
      </c>
      <c r="E27" s="17">
        <v>0.28999999999999998</v>
      </c>
      <c r="F27" s="17">
        <v>0</v>
      </c>
      <c r="G27" s="31"/>
    </row>
    <row r="28" spans="1:8" x14ac:dyDescent="0.2">
      <c r="A28" s="15">
        <v>23</v>
      </c>
      <c r="B28" s="50" t="s">
        <v>29</v>
      </c>
      <c r="C28" s="13">
        <v>0</v>
      </c>
      <c r="D28" s="13">
        <v>0</v>
      </c>
      <c r="E28" s="13">
        <v>0</v>
      </c>
      <c r="F28" s="13">
        <v>0</v>
      </c>
      <c r="G28" s="27"/>
      <c r="H28" s="28"/>
    </row>
    <row r="29" spans="1:8" ht="20.25" customHeight="1" x14ac:dyDescent="0.2">
      <c r="A29" s="33">
        <v>24</v>
      </c>
      <c r="B29" s="34" t="s">
        <v>51</v>
      </c>
      <c r="C29" s="35">
        <v>19.999553744493394</v>
      </c>
      <c r="D29" s="35">
        <v>20.000788577230178</v>
      </c>
      <c r="E29" s="35">
        <v>20.000320977172603</v>
      </c>
      <c r="F29" s="35">
        <v>20.004524631523932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8" x14ac:dyDescent="0.25">
      <c r="A31" s="174" t="s">
        <v>52</v>
      </c>
      <c r="B31" s="174"/>
      <c r="C31" s="174"/>
      <c r="D31" s="174"/>
      <c r="E31" s="174"/>
      <c r="F31" s="174"/>
      <c r="G31" s="37"/>
    </row>
    <row r="32" spans="1:8" ht="14.25" customHeight="1" x14ac:dyDescent="0.2">
      <c r="A32" s="43"/>
      <c r="B32" s="36"/>
      <c r="C32" s="43"/>
      <c r="D32" s="43"/>
      <c r="E32" s="37"/>
      <c r="F32" s="37"/>
      <c r="G32" s="38"/>
    </row>
    <row r="33" spans="1:7" ht="14.25" customHeight="1" x14ac:dyDescent="0.2">
      <c r="A33" s="44"/>
      <c r="B33" s="170" t="s">
        <v>39</v>
      </c>
      <c r="C33" s="170"/>
      <c r="D33" s="170"/>
      <c r="E33" s="170"/>
      <c r="F33" s="45"/>
      <c r="G33" s="38"/>
    </row>
    <row r="34" spans="1:7" ht="14.25" customHeight="1" x14ac:dyDescent="0.2">
      <c r="A34" s="6"/>
      <c r="B34" s="171" t="s">
        <v>40</v>
      </c>
      <c r="C34" s="171"/>
      <c r="D34" s="171"/>
      <c r="E34" s="171"/>
      <c r="F34" s="6"/>
      <c r="G34" s="38"/>
    </row>
    <row r="35" spans="1:7" ht="14.25" customHeight="1" x14ac:dyDescent="0.2">
      <c r="A35" s="6"/>
      <c r="B35" s="46"/>
      <c r="C35" s="46"/>
      <c r="D35" s="46"/>
      <c r="E35" s="46"/>
      <c r="F35" s="6"/>
      <c r="G35" s="38"/>
    </row>
    <row r="36" spans="1:7" ht="14.25" customHeight="1" x14ac:dyDescent="0.2">
      <c r="A36" s="6"/>
      <c r="B36" s="46"/>
      <c r="C36" s="46"/>
      <c r="D36" s="46"/>
      <c r="E36" s="46"/>
      <c r="F36" s="6"/>
      <c r="G36" s="38"/>
    </row>
  </sheetData>
  <mergeCells count="4">
    <mergeCell ref="B4:F4"/>
    <mergeCell ref="A31:F31"/>
    <mergeCell ref="B33:E33"/>
    <mergeCell ref="B34:E34"/>
  </mergeCells>
  <pageMargins left="0.51181102362204722" right="0.31496062992125984" top="0" bottom="0" header="0.31496062992125984" footer="0.31496062992125984"/>
  <pageSetup paperSize="9"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AC6D-5BB6-4A21-A058-FD3C683D33EB}">
  <dimension ref="A1:H49"/>
  <sheetViews>
    <sheetView topLeftCell="A11" zoomScaleNormal="100" workbookViewId="0">
      <selection activeCell="H21" sqref="H21"/>
    </sheetView>
  </sheetViews>
  <sheetFormatPr defaultRowHeight="15" x14ac:dyDescent="0.2"/>
  <cols>
    <col min="1" max="1" width="9.81640625" style="1" customWidth="1"/>
    <col min="2" max="2" width="60.3984375" customWidth="1"/>
    <col min="3" max="3" width="17.62109375" customWidth="1"/>
    <col min="4" max="5" width="16.27734375" customWidth="1"/>
    <col min="6" max="6" width="16.41015625" customWidth="1"/>
    <col min="7" max="7" width="22.05859375" customWidth="1"/>
  </cols>
  <sheetData>
    <row r="1" spans="1:8" x14ac:dyDescent="0.2">
      <c r="F1" s="2"/>
    </row>
    <row r="2" spans="1:8" x14ac:dyDescent="0.2">
      <c r="F2" s="2"/>
    </row>
    <row r="3" spans="1:8" x14ac:dyDescent="0.2">
      <c r="F3" s="2"/>
    </row>
    <row r="4" spans="1:8" ht="26.25" customHeight="1" x14ac:dyDescent="0.2">
      <c r="A4" s="3"/>
      <c r="B4" s="169" t="s">
        <v>54</v>
      </c>
      <c r="C4" s="169"/>
      <c r="D4" s="169"/>
      <c r="E4" s="169"/>
      <c r="F4" s="169"/>
      <c r="G4" s="4"/>
    </row>
    <row r="5" spans="1:8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7"/>
    </row>
    <row r="6" spans="1:8" ht="20.25" customHeight="1" x14ac:dyDescent="0.2">
      <c r="A6" s="8">
        <v>1</v>
      </c>
      <c r="B6" s="9" t="s">
        <v>50</v>
      </c>
      <c r="C6" s="10">
        <v>1194.6400000000001</v>
      </c>
      <c r="D6" s="10">
        <v>1134.1400000000001</v>
      </c>
      <c r="E6" s="10">
        <v>1184.57</v>
      </c>
      <c r="F6" s="10">
        <v>574.84</v>
      </c>
      <c r="G6" s="6"/>
      <c r="H6" s="7"/>
    </row>
    <row r="7" spans="1:8" x14ac:dyDescent="0.2">
      <c r="A7" s="11">
        <v>2</v>
      </c>
      <c r="B7" s="12" t="s">
        <v>8</v>
      </c>
      <c r="C7" s="13">
        <v>86.5</v>
      </c>
      <c r="D7" s="13">
        <v>148</v>
      </c>
      <c r="E7" s="13">
        <f>63+6</f>
        <v>69</v>
      </c>
      <c r="F7" s="13">
        <v>103.5</v>
      </c>
      <c r="G7" s="14"/>
      <c r="H7" s="7"/>
    </row>
    <row r="8" spans="1:8" x14ac:dyDescent="0.2">
      <c r="A8" s="15">
        <v>3</v>
      </c>
      <c r="B8" s="16" t="s">
        <v>9</v>
      </c>
      <c r="C8" s="17">
        <f>C6+C7</f>
        <v>1281.1400000000001</v>
      </c>
      <c r="D8" s="17">
        <f>D6+D7</f>
        <v>1282.1400000000001</v>
      </c>
      <c r="E8" s="17">
        <f>E6+E7</f>
        <v>1253.57</v>
      </c>
      <c r="F8" s="17">
        <f>F6+F7</f>
        <v>678.34</v>
      </c>
      <c r="G8" s="14"/>
      <c r="H8" s="7"/>
    </row>
    <row r="9" spans="1:8" x14ac:dyDescent="0.2">
      <c r="A9" s="15">
        <v>4</v>
      </c>
      <c r="B9" s="16" t="s">
        <v>10</v>
      </c>
      <c r="C9" s="13">
        <f>C8*5%</f>
        <v>64.057000000000002</v>
      </c>
      <c r="D9" s="13">
        <f>D8*5%</f>
        <v>64.107000000000014</v>
      </c>
      <c r="E9" s="13">
        <f>E8*5%</f>
        <v>62.6785</v>
      </c>
      <c r="F9" s="13">
        <f>F8*5%</f>
        <v>33.917000000000002</v>
      </c>
      <c r="G9" s="14"/>
    </row>
    <row r="10" spans="1:8" x14ac:dyDescent="0.2">
      <c r="A10" s="15">
        <v>5</v>
      </c>
      <c r="B10" s="16" t="s">
        <v>11</v>
      </c>
      <c r="C10" s="13">
        <v>4.7</v>
      </c>
      <c r="D10" s="13">
        <v>4.7</v>
      </c>
      <c r="E10" s="13">
        <v>4.7</v>
      </c>
      <c r="F10" s="13">
        <v>4.7</v>
      </c>
      <c r="G10" s="14"/>
    </row>
    <row r="11" spans="1:8" x14ac:dyDescent="0.2">
      <c r="A11" s="18">
        <v>6</v>
      </c>
      <c r="B11" s="19" t="s">
        <v>12</v>
      </c>
      <c r="C11" s="13">
        <v>3</v>
      </c>
      <c r="D11" s="13">
        <v>3</v>
      </c>
      <c r="E11" s="13">
        <v>3</v>
      </c>
      <c r="F11" s="13">
        <v>2</v>
      </c>
      <c r="G11" s="14"/>
    </row>
    <row r="12" spans="1:8" x14ac:dyDescent="0.2">
      <c r="A12" s="18">
        <v>7</v>
      </c>
      <c r="B12" s="19" t="s">
        <v>13</v>
      </c>
      <c r="C12" s="17">
        <v>20</v>
      </c>
      <c r="D12" s="17">
        <v>20</v>
      </c>
      <c r="E12" s="17">
        <v>20</v>
      </c>
      <c r="F12" s="17">
        <v>20</v>
      </c>
      <c r="G12" s="14"/>
    </row>
    <row r="13" spans="1:8" x14ac:dyDescent="0.2">
      <c r="A13" s="15">
        <v>8</v>
      </c>
      <c r="B13" s="16" t="s">
        <v>14</v>
      </c>
      <c r="C13" s="13">
        <v>2</v>
      </c>
      <c r="D13" s="13">
        <v>2</v>
      </c>
      <c r="E13" s="13">
        <v>2</v>
      </c>
      <c r="F13" s="13">
        <v>2</v>
      </c>
      <c r="G13" s="14"/>
    </row>
    <row r="14" spans="1:8" x14ac:dyDescent="0.2">
      <c r="A14" s="15">
        <v>9</v>
      </c>
      <c r="B14" s="16" t="s">
        <v>15</v>
      </c>
      <c r="C14" s="13">
        <v>2</v>
      </c>
      <c r="D14" s="13">
        <v>2</v>
      </c>
      <c r="E14" s="13">
        <v>2</v>
      </c>
      <c r="F14" s="13">
        <v>2</v>
      </c>
      <c r="G14" s="14"/>
    </row>
    <row r="15" spans="1:8" x14ac:dyDescent="0.2">
      <c r="A15" s="15">
        <v>10</v>
      </c>
      <c r="B15" s="16" t="s">
        <v>16</v>
      </c>
      <c r="C15" s="13">
        <f>5.68+7.8</f>
        <v>13.48</v>
      </c>
      <c r="D15" s="13">
        <f>4.96+7.8</f>
        <v>12.76</v>
      </c>
      <c r="E15" s="13">
        <f>5.51+7.8</f>
        <v>13.309999999999999</v>
      </c>
      <c r="F15" s="13">
        <f>3.07+7.8</f>
        <v>10.87</v>
      </c>
      <c r="G15" s="14"/>
    </row>
    <row r="16" spans="1:8" x14ac:dyDescent="0.2">
      <c r="A16" s="15">
        <v>11</v>
      </c>
      <c r="B16" s="16" t="s">
        <v>17</v>
      </c>
      <c r="C16" s="17">
        <f>SUM(C8:C15)</f>
        <v>1390.3770000000002</v>
      </c>
      <c r="D16" s="17">
        <f>SUM(D8:D15)</f>
        <v>1390.7070000000001</v>
      </c>
      <c r="E16" s="17">
        <f>SUM(E8:E15)</f>
        <v>1361.2584999999999</v>
      </c>
      <c r="F16" s="17">
        <f>SUM(F8:F15)</f>
        <v>753.82700000000011</v>
      </c>
      <c r="G16" s="14"/>
    </row>
    <row r="17" spans="1:8" x14ac:dyDescent="0.2">
      <c r="A17" s="15">
        <v>12</v>
      </c>
      <c r="B17" s="16" t="s">
        <v>18</v>
      </c>
      <c r="C17" s="17">
        <v>1362</v>
      </c>
      <c r="D17" s="17">
        <v>1162.24</v>
      </c>
      <c r="E17" s="17">
        <v>1248.5</v>
      </c>
      <c r="F17" s="17">
        <v>1071.44</v>
      </c>
      <c r="G17" s="14"/>
    </row>
    <row r="18" spans="1:8" x14ac:dyDescent="0.2">
      <c r="A18" s="15">
        <v>13</v>
      </c>
      <c r="B18" s="16" t="s">
        <v>19</v>
      </c>
      <c r="C18" s="17">
        <f>C16/C17</f>
        <v>1.0208348017621147</v>
      </c>
      <c r="D18" s="17">
        <f>D16/D17</f>
        <v>1.1965747177863437</v>
      </c>
      <c r="E18" s="17">
        <f>E16/E17</f>
        <v>1.0903151782138565</v>
      </c>
      <c r="F18" s="17">
        <f>F16/F17</f>
        <v>0.70356436198013894</v>
      </c>
      <c r="G18" s="14"/>
    </row>
    <row r="19" spans="1:8" ht="17.25" customHeight="1" x14ac:dyDescent="0.2">
      <c r="A19" s="20">
        <v>14</v>
      </c>
      <c r="B19" s="21" t="s">
        <v>20</v>
      </c>
      <c r="C19" s="22">
        <v>14.15</v>
      </c>
      <c r="D19" s="22">
        <v>14.15</v>
      </c>
      <c r="E19" s="22">
        <v>14.15</v>
      </c>
      <c r="F19" s="22">
        <v>14.15</v>
      </c>
      <c r="G19" s="14"/>
    </row>
    <row r="20" spans="1:8" x14ac:dyDescent="0.2">
      <c r="A20" s="15">
        <v>15</v>
      </c>
      <c r="B20" s="12" t="s">
        <v>21</v>
      </c>
      <c r="C20" s="17">
        <f>C19*C18</f>
        <v>14.444812444933923</v>
      </c>
      <c r="D20" s="17">
        <f>D19*D18</f>
        <v>16.931532256676764</v>
      </c>
      <c r="E20" s="17">
        <f t="shared" ref="E20:F20" si="0">E19*E18</f>
        <v>15.427959771726069</v>
      </c>
      <c r="F20" s="17">
        <f t="shared" si="0"/>
        <v>9.9554357220189669</v>
      </c>
      <c r="G20" s="14"/>
    </row>
    <row r="21" spans="1:8" x14ac:dyDescent="0.2">
      <c r="A21" s="15">
        <v>16</v>
      </c>
      <c r="B21" s="12" t="s">
        <v>22</v>
      </c>
      <c r="C21" s="13">
        <f>(1465.37+350+50+50+100+100+400)/1000</f>
        <v>2.5153699999999999</v>
      </c>
      <c r="D21" s="13">
        <v>2.52</v>
      </c>
      <c r="E21" s="13">
        <v>2.52</v>
      </c>
      <c r="F21" s="13">
        <v>2.52</v>
      </c>
      <c r="G21" s="14"/>
    </row>
    <row r="22" spans="1:8" x14ac:dyDescent="0.2">
      <c r="A22" s="23">
        <v>17</v>
      </c>
      <c r="B22" s="24" t="s">
        <v>23</v>
      </c>
      <c r="C22" s="17">
        <f>(281.38+152.56)/1000</f>
        <v>0.43393999999999999</v>
      </c>
      <c r="D22" s="17">
        <f>(281.38+152.56)/1000</f>
        <v>0.43393999999999999</v>
      </c>
      <c r="E22" s="17">
        <f>(407.97-393.52+1871.55)/1000</f>
        <v>1.8859999999999999</v>
      </c>
      <c r="F22" s="17">
        <f>(405.48+1832.03+3066.62)/1000</f>
        <v>5.3041299999999998</v>
      </c>
      <c r="G22" s="14"/>
    </row>
    <row r="23" spans="1:8" x14ac:dyDescent="0.2">
      <c r="A23" s="15">
        <v>18</v>
      </c>
      <c r="B23" s="12" t="s">
        <v>24</v>
      </c>
      <c r="C23" s="13">
        <f>(55/1000)+(95/1000)</f>
        <v>0.15</v>
      </c>
      <c r="D23" s="13">
        <f t="shared" ref="D23:E23" si="1">(55/1000)+(95/1000)</f>
        <v>0.15</v>
      </c>
      <c r="E23" s="13">
        <f t="shared" si="1"/>
        <v>0.15</v>
      </c>
      <c r="F23" s="13">
        <v>0</v>
      </c>
      <c r="G23" s="14"/>
    </row>
    <row r="24" spans="1:8" x14ac:dyDescent="0.2">
      <c r="A24" s="25">
        <v>19</v>
      </c>
      <c r="B24" s="26" t="s">
        <v>25</v>
      </c>
      <c r="C24" s="17">
        <f>(1059.57/1000)+(421.09/1000)</f>
        <v>1.4806599999999999</v>
      </c>
      <c r="D24" s="17">
        <f>826.37/1000</f>
        <v>0.82637000000000005</v>
      </c>
      <c r="E24" s="17">
        <f>(1207.67/1000)-(393.52/1000)</f>
        <v>0.81415000000000004</v>
      </c>
      <c r="F24" s="17">
        <f>(2291.87/1000)+(1832.03/1000)</f>
        <v>4.1238999999999999</v>
      </c>
      <c r="G24" s="27"/>
      <c r="H24" s="28"/>
    </row>
    <row r="25" spans="1:8" x14ac:dyDescent="0.2">
      <c r="A25" s="15">
        <v>20</v>
      </c>
      <c r="B25" s="12" t="s">
        <v>26</v>
      </c>
      <c r="C25" s="13">
        <f>495.37/1000</f>
        <v>0.49536999999999998</v>
      </c>
      <c r="D25" s="13">
        <f>495.37/1000</f>
        <v>0.49536999999999998</v>
      </c>
      <c r="E25" s="13">
        <v>0</v>
      </c>
      <c r="F25" s="13">
        <v>0</v>
      </c>
      <c r="G25" s="27"/>
      <c r="H25" s="29"/>
    </row>
    <row r="26" spans="1:8" x14ac:dyDescent="0.2">
      <c r="A26" s="15">
        <v>21</v>
      </c>
      <c r="B26" s="12" t="s">
        <v>27</v>
      </c>
      <c r="C26" s="13">
        <f>70/1000</f>
        <v>7.0000000000000007E-2</v>
      </c>
      <c r="D26" s="13">
        <f t="shared" ref="D26:E26" si="2">70/1000</f>
        <v>7.0000000000000007E-2</v>
      </c>
      <c r="E26" s="13">
        <f t="shared" si="2"/>
        <v>7.0000000000000007E-2</v>
      </c>
      <c r="F26" s="30">
        <v>0</v>
      </c>
      <c r="G26" s="14"/>
    </row>
    <row r="27" spans="1:8" s="32" customFormat="1" x14ac:dyDescent="0.2">
      <c r="A27" s="23">
        <v>22</v>
      </c>
      <c r="B27" s="24" t="s">
        <v>28</v>
      </c>
      <c r="C27" s="17">
        <v>1</v>
      </c>
      <c r="D27" s="17">
        <v>1</v>
      </c>
      <c r="E27" s="17">
        <v>1</v>
      </c>
      <c r="F27" s="17">
        <v>1</v>
      </c>
      <c r="G27" s="31"/>
    </row>
    <row r="28" spans="1:8" x14ac:dyDescent="0.2">
      <c r="A28" s="15">
        <v>23</v>
      </c>
      <c r="B28" s="50" t="s">
        <v>29</v>
      </c>
      <c r="C28" s="13">
        <v>0</v>
      </c>
      <c r="D28" s="13">
        <f>-1480.44+1480.44</f>
        <v>0</v>
      </c>
      <c r="E28" s="13">
        <f>-1509.91+220.98+1288.93</f>
        <v>0</v>
      </c>
      <c r="F28" s="13">
        <v>0</v>
      </c>
      <c r="G28" s="27"/>
      <c r="H28" s="28"/>
    </row>
    <row r="29" spans="1:8" ht="20.25" customHeight="1" x14ac:dyDescent="0.2">
      <c r="A29" s="33">
        <v>24</v>
      </c>
      <c r="B29" s="34" t="s">
        <v>55</v>
      </c>
      <c r="C29" s="35">
        <f>SUM(C20:C28)</f>
        <v>20.590152444933924</v>
      </c>
      <c r="D29" s="35">
        <f>SUM(D20:D28)</f>
        <v>22.427212256676764</v>
      </c>
      <c r="E29" s="35">
        <f>SUM(E20:E28)</f>
        <v>21.868109771726068</v>
      </c>
      <c r="F29" s="35">
        <f>SUM(F20:F28)</f>
        <v>22.903465722018964</v>
      </c>
      <c r="G29" s="14"/>
      <c r="H29" s="29"/>
    </row>
    <row r="30" spans="1:8" ht="12.75" customHeight="1" x14ac:dyDescent="0.2">
      <c r="A30" s="3"/>
      <c r="B30" s="36"/>
      <c r="C30" s="37"/>
      <c r="D30" s="37"/>
      <c r="E30" s="37"/>
      <c r="F30" s="37"/>
      <c r="G30" s="38"/>
    </row>
    <row r="31" spans="1:8" s="36" customFormat="1" ht="18" x14ac:dyDescent="0.25">
      <c r="A31" s="174" t="s">
        <v>56</v>
      </c>
      <c r="B31" s="174"/>
      <c r="C31" s="174"/>
      <c r="D31" s="174"/>
      <c r="E31" s="174"/>
      <c r="F31" s="174"/>
      <c r="G31" s="37"/>
    </row>
    <row r="32" spans="1:8" s="36" customFormat="1" hidden="1" x14ac:dyDescent="0.2">
      <c r="A32" s="39" t="s">
        <v>31</v>
      </c>
      <c r="B32" s="40"/>
      <c r="C32" s="39" t="s">
        <v>31</v>
      </c>
      <c r="D32" s="40"/>
      <c r="E32" s="41"/>
      <c r="F32" s="41"/>
      <c r="G32" s="37"/>
    </row>
    <row r="33" spans="1:7" s="36" customFormat="1" ht="14.25" hidden="1" customHeight="1" x14ac:dyDescent="0.2">
      <c r="A33" s="39" t="s">
        <v>32</v>
      </c>
      <c r="B33" s="40"/>
      <c r="C33" s="39" t="s">
        <v>33</v>
      </c>
      <c r="D33" s="40"/>
      <c r="E33" s="41"/>
      <c r="F33" s="41"/>
      <c r="G33" s="37"/>
    </row>
    <row r="34" spans="1:7" s="36" customFormat="1" ht="14.25" hidden="1" customHeight="1" x14ac:dyDescent="0.2">
      <c r="A34" s="42"/>
      <c r="B34" s="40"/>
      <c r="C34" s="42"/>
      <c r="D34" s="40"/>
      <c r="E34" s="41"/>
      <c r="F34" s="41"/>
      <c r="G34" s="37"/>
    </row>
    <row r="35" spans="1:7" s="36" customFormat="1" ht="14.25" hidden="1" customHeight="1" x14ac:dyDescent="0.2">
      <c r="A35" s="42"/>
      <c r="B35" s="40"/>
      <c r="C35" s="42"/>
      <c r="D35" s="40"/>
      <c r="E35" s="41"/>
      <c r="F35" s="41"/>
      <c r="G35" s="37"/>
    </row>
    <row r="36" spans="1:7" s="36" customFormat="1" ht="14.25" hidden="1" customHeight="1" x14ac:dyDescent="0.2">
      <c r="A36" s="39" t="s">
        <v>31</v>
      </c>
      <c r="B36" s="40"/>
      <c r="C36" s="39" t="s">
        <v>31</v>
      </c>
      <c r="D36" s="40"/>
      <c r="E36" s="41"/>
      <c r="F36" s="41"/>
      <c r="G36" s="37"/>
    </row>
    <row r="37" spans="1:7" s="36" customFormat="1" ht="14.25" hidden="1" customHeight="1" x14ac:dyDescent="0.2">
      <c r="A37" s="39" t="s">
        <v>34</v>
      </c>
      <c r="B37" s="40"/>
      <c r="C37" s="39" t="s">
        <v>35</v>
      </c>
      <c r="D37" s="40"/>
      <c r="E37" s="41"/>
      <c r="F37" s="41"/>
      <c r="G37" s="37"/>
    </row>
    <row r="38" spans="1:7" s="36" customFormat="1" ht="14.25" hidden="1" customHeight="1" x14ac:dyDescent="0.2">
      <c r="A38" s="42"/>
      <c r="B38" s="40"/>
      <c r="C38" s="42"/>
      <c r="D38" s="40"/>
      <c r="E38" s="41"/>
      <c r="F38" s="41"/>
      <c r="G38" s="37"/>
    </row>
    <row r="39" spans="1:7" s="36" customFormat="1" ht="14.25" hidden="1" customHeight="1" x14ac:dyDescent="0.2">
      <c r="A39" s="42"/>
      <c r="B39" s="40"/>
      <c r="C39" s="42"/>
      <c r="D39" s="40"/>
      <c r="E39" s="41"/>
      <c r="F39" s="41"/>
      <c r="G39" s="37"/>
    </row>
    <row r="40" spans="1:7" s="36" customFormat="1" ht="14.25" hidden="1" customHeight="1" x14ac:dyDescent="0.2">
      <c r="A40" s="39" t="s">
        <v>36</v>
      </c>
      <c r="B40" s="40"/>
      <c r="C40" s="39" t="s">
        <v>36</v>
      </c>
      <c r="D40" s="40"/>
      <c r="E40" s="41"/>
      <c r="F40" s="41"/>
      <c r="G40" s="37"/>
    </row>
    <row r="41" spans="1:7" s="36" customFormat="1" ht="14.25" hidden="1" customHeight="1" x14ac:dyDescent="0.2">
      <c r="A41" s="39" t="s">
        <v>37</v>
      </c>
      <c r="B41" s="40"/>
      <c r="C41" s="39" t="s">
        <v>38</v>
      </c>
      <c r="D41" s="40"/>
      <c r="E41" s="41"/>
      <c r="F41" s="41"/>
      <c r="G41" s="37"/>
    </row>
    <row r="42" spans="1:7" ht="14.25" hidden="1" customHeight="1" x14ac:dyDescent="0.2">
      <c r="A42" s="43"/>
      <c r="B42" s="36"/>
      <c r="C42" s="43"/>
      <c r="D42" s="43"/>
      <c r="E42" s="37"/>
      <c r="F42" s="37"/>
      <c r="G42" s="38"/>
    </row>
    <row r="43" spans="1:7" ht="14.25" hidden="1" customHeight="1" x14ac:dyDescent="0.2">
      <c r="A43" s="43"/>
      <c r="B43" s="36"/>
      <c r="C43" s="43"/>
      <c r="D43" s="43"/>
      <c r="E43" s="37"/>
      <c r="F43" s="37"/>
      <c r="G43" s="38"/>
    </row>
    <row r="44" spans="1:7" ht="14.25" hidden="1" customHeight="1" x14ac:dyDescent="0.2">
      <c r="A44" s="43" t="s">
        <v>36</v>
      </c>
      <c r="B44" s="36"/>
      <c r="C44" s="43"/>
      <c r="D44" s="43"/>
      <c r="E44" s="37"/>
      <c r="F44" s="37"/>
      <c r="G44" s="38"/>
    </row>
    <row r="45" spans="1:7" ht="14.25" hidden="1" customHeight="1" x14ac:dyDescent="0.2">
      <c r="A45" s="43" t="s">
        <v>53</v>
      </c>
      <c r="B45" s="36"/>
      <c r="C45" s="43"/>
      <c r="D45" s="43"/>
      <c r="E45" s="37"/>
      <c r="F45" s="37"/>
      <c r="G45" s="38"/>
    </row>
    <row r="46" spans="1:7" ht="14.25" customHeight="1" x14ac:dyDescent="0.2">
      <c r="A46" s="44"/>
      <c r="B46" s="170" t="s">
        <v>39</v>
      </c>
      <c r="C46" s="170"/>
      <c r="D46" s="170"/>
      <c r="E46" s="170"/>
      <c r="F46" s="45"/>
      <c r="G46" s="38"/>
    </row>
    <row r="47" spans="1:7" ht="14.25" customHeight="1" x14ac:dyDescent="0.2">
      <c r="A47" s="6"/>
      <c r="B47" s="171" t="s">
        <v>40</v>
      </c>
      <c r="C47" s="171"/>
      <c r="D47" s="171"/>
      <c r="E47" s="171"/>
      <c r="F47" s="6"/>
      <c r="G47" s="38"/>
    </row>
    <row r="48" spans="1:7" ht="14.25" customHeight="1" x14ac:dyDescent="0.2">
      <c r="A48" s="6"/>
      <c r="B48" s="46"/>
      <c r="C48" s="46"/>
      <c r="D48" s="46"/>
      <c r="E48" s="46"/>
      <c r="F48" s="6"/>
      <c r="G48" s="38"/>
    </row>
    <row r="49" spans="1:7" ht="14.25" customHeight="1" x14ac:dyDescent="0.2">
      <c r="A49" s="6"/>
      <c r="B49" s="46"/>
      <c r="C49" s="46"/>
      <c r="D49" s="46"/>
      <c r="E49" s="46"/>
      <c r="F49" s="6"/>
      <c r="G49" s="38"/>
    </row>
  </sheetData>
  <mergeCells count="4">
    <mergeCell ref="B4:F4"/>
    <mergeCell ref="A31:F31"/>
    <mergeCell ref="B46:E46"/>
    <mergeCell ref="B47:E47"/>
  </mergeCells>
  <pageMargins left="0.51181102362204722" right="0.31496062992125984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FE40-6F62-4653-8D71-265638B4CC94}">
  <dimension ref="A1:I38"/>
  <sheetViews>
    <sheetView topLeftCell="A20" zoomScale="110" zoomScaleNormal="110" workbookViewId="0">
      <selection activeCell="B42" sqref="B42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  <col min="9" max="9" width="9.28125" bestFit="1" customWidth="1"/>
    <col min="10" max="10" width="10.4921875" customWidth="1"/>
  </cols>
  <sheetData>
    <row r="1" spans="1:8" x14ac:dyDescent="0.2">
      <c r="E1" s="49"/>
      <c r="F1" s="99"/>
      <c r="H1" s="49"/>
    </row>
    <row r="2" spans="1:8" ht="20.45" customHeight="1" x14ac:dyDescent="0.2">
      <c r="E2" s="49"/>
      <c r="F2" s="100"/>
      <c r="H2" s="49"/>
    </row>
    <row r="3" spans="1:8" ht="15.6" customHeight="1" x14ac:dyDescent="0.2">
      <c r="E3" s="49"/>
      <c r="F3" s="101"/>
      <c r="H3" s="49"/>
    </row>
    <row r="4" spans="1:8" ht="15.6" customHeight="1" x14ac:dyDescent="0.2">
      <c r="E4" s="49"/>
      <c r="F4" s="101"/>
      <c r="H4" s="49"/>
    </row>
    <row r="5" spans="1:8" ht="15.75" x14ac:dyDescent="0.2">
      <c r="A5" s="75"/>
      <c r="B5" s="173" t="s">
        <v>59</v>
      </c>
      <c r="C5" s="173"/>
      <c r="D5" s="173"/>
      <c r="E5" s="173"/>
      <c r="F5" s="173"/>
      <c r="G5" s="54"/>
      <c r="H5" s="7"/>
    </row>
    <row r="6" spans="1:8" x14ac:dyDescent="0.2">
      <c r="A6" s="76" t="s">
        <v>1</v>
      </c>
      <c r="B6" s="77" t="s">
        <v>2</v>
      </c>
      <c r="C6" s="76" t="s">
        <v>3</v>
      </c>
      <c r="D6" s="76" t="s">
        <v>4</v>
      </c>
      <c r="E6" s="76" t="s">
        <v>5</v>
      </c>
      <c r="F6" s="76" t="s">
        <v>6</v>
      </c>
      <c r="H6" s="7"/>
    </row>
    <row r="7" spans="1:8" x14ac:dyDescent="0.2">
      <c r="A7" s="102">
        <v>1</v>
      </c>
      <c r="B7" s="103" t="s">
        <v>60</v>
      </c>
      <c r="C7" s="104">
        <v>1041.58</v>
      </c>
      <c r="D7" s="104">
        <v>1057.58</v>
      </c>
      <c r="E7" s="104">
        <v>1135.03</v>
      </c>
      <c r="F7" s="104">
        <v>602.47</v>
      </c>
      <c r="H7" s="49"/>
    </row>
    <row r="8" spans="1:8" x14ac:dyDescent="0.2">
      <c r="A8" s="105">
        <v>2</v>
      </c>
      <c r="B8" s="106" t="s">
        <v>8</v>
      </c>
      <c r="C8" s="107">
        <v>86.5</v>
      </c>
      <c r="D8" s="107">
        <v>148</v>
      </c>
      <c r="E8" s="107">
        <v>69</v>
      </c>
      <c r="F8" s="107">
        <v>103.5</v>
      </c>
      <c r="G8" s="58"/>
      <c r="H8" s="49"/>
    </row>
    <row r="9" spans="1:8" x14ac:dyDescent="0.2">
      <c r="A9" s="105">
        <v>3</v>
      </c>
      <c r="B9" s="108" t="s">
        <v>9</v>
      </c>
      <c r="C9" s="107">
        <v>1128.08</v>
      </c>
      <c r="D9" s="107">
        <v>1205.58</v>
      </c>
      <c r="E9" s="107">
        <v>1204.03</v>
      </c>
      <c r="F9" s="107">
        <v>705.97</v>
      </c>
      <c r="G9" s="58"/>
      <c r="H9" s="49"/>
    </row>
    <row r="10" spans="1:8" x14ac:dyDescent="0.2">
      <c r="A10" s="105">
        <v>4</v>
      </c>
      <c r="B10" s="108" t="s">
        <v>10</v>
      </c>
      <c r="C10" s="107">
        <v>56.403999999999996</v>
      </c>
      <c r="D10" s="107">
        <v>60.278999999999996</v>
      </c>
      <c r="E10" s="107">
        <v>60.201500000000003</v>
      </c>
      <c r="F10" s="107">
        <v>35.298500000000004</v>
      </c>
      <c r="G10" s="58"/>
      <c r="H10" s="49"/>
    </row>
    <row r="11" spans="1:8" x14ac:dyDescent="0.2">
      <c r="A11" s="105">
        <v>5</v>
      </c>
      <c r="B11" s="108" t="s">
        <v>11</v>
      </c>
      <c r="C11" s="107">
        <v>4.7</v>
      </c>
      <c r="D11" s="107">
        <v>4.7</v>
      </c>
      <c r="E11" s="107">
        <v>4.7</v>
      </c>
      <c r="F11" s="107">
        <v>4.7</v>
      </c>
      <c r="G11" s="58"/>
      <c r="H11" s="7"/>
    </row>
    <row r="12" spans="1:8" x14ac:dyDescent="0.2">
      <c r="A12" s="109">
        <v>6</v>
      </c>
      <c r="B12" s="110" t="s">
        <v>12</v>
      </c>
      <c r="C12" s="107">
        <v>3</v>
      </c>
      <c r="D12" s="107">
        <v>3</v>
      </c>
      <c r="E12" s="107">
        <v>3</v>
      </c>
      <c r="F12" s="107">
        <v>2</v>
      </c>
      <c r="G12" s="60"/>
      <c r="H12" s="49"/>
    </row>
    <row r="13" spans="1:8" x14ac:dyDescent="0.2">
      <c r="A13" s="109">
        <v>7</v>
      </c>
      <c r="B13" s="110" t="s">
        <v>13</v>
      </c>
      <c r="C13" s="107">
        <v>20</v>
      </c>
      <c r="D13" s="107">
        <v>20</v>
      </c>
      <c r="E13" s="107">
        <v>20</v>
      </c>
      <c r="F13" s="107">
        <v>20</v>
      </c>
      <c r="G13" s="60"/>
    </row>
    <row r="14" spans="1:8" x14ac:dyDescent="0.2">
      <c r="A14" s="105">
        <v>8</v>
      </c>
      <c r="B14" s="108" t="s">
        <v>14</v>
      </c>
      <c r="C14" s="107">
        <v>2</v>
      </c>
      <c r="D14" s="107">
        <v>2</v>
      </c>
      <c r="E14" s="107">
        <v>2</v>
      </c>
      <c r="F14" s="107">
        <v>2</v>
      </c>
      <c r="G14" s="60"/>
    </row>
    <row r="15" spans="1:8" x14ac:dyDescent="0.2">
      <c r="A15" s="105">
        <v>9</v>
      </c>
      <c r="B15" s="108" t="s">
        <v>15</v>
      </c>
      <c r="C15" s="107">
        <v>2</v>
      </c>
      <c r="D15" s="107">
        <v>2</v>
      </c>
      <c r="E15" s="107">
        <v>2</v>
      </c>
      <c r="F15" s="107">
        <v>2</v>
      </c>
      <c r="G15" s="60"/>
    </row>
    <row r="16" spans="1:8" x14ac:dyDescent="0.2">
      <c r="A16" s="105">
        <v>10</v>
      </c>
      <c r="B16" s="108" t="s">
        <v>16</v>
      </c>
      <c r="C16" s="107">
        <v>13.48</v>
      </c>
      <c r="D16" s="107">
        <v>12.76</v>
      </c>
      <c r="E16" s="107">
        <v>13.309999999999999</v>
      </c>
      <c r="F16" s="107">
        <v>10.87</v>
      </c>
      <c r="G16" s="60"/>
      <c r="H16" s="49"/>
    </row>
    <row r="17" spans="1:9" x14ac:dyDescent="0.2">
      <c r="A17" s="105">
        <v>11</v>
      </c>
      <c r="B17" s="108" t="s">
        <v>17</v>
      </c>
      <c r="C17" s="107">
        <v>1229.664</v>
      </c>
      <c r="D17" s="107">
        <v>1310.319</v>
      </c>
      <c r="E17" s="107">
        <v>1309.2414999999999</v>
      </c>
      <c r="F17" s="107">
        <v>782.83850000000007</v>
      </c>
      <c r="G17" s="60"/>
      <c r="H17" s="49"/>
    </row>
    <row r="18" spans="1:9" x14ac:dyDescent="0.2">
      <c r="A18" s="105">
        <v>12</v>
      </c>
      <c r="B18" s="108" t="s">
        <v>18</v>
      </c>
      <c r="C18" s="107">
        <v>1362</v>
      </c>
      <c r="D18" s="107">
        <v>1162.24</v>
      </c>
      <c r="E18" s="107">
        <v>1248.5</v>
      </c>
      <c r="F18" s="107">
        <v>1071.44</v>
      </c>
      <c r="G18" s="60"/>
      <c r="H18" s="49"/>
    </row>
    <row r="19" spans="1:9" x14ac:dyDescent="0.2">
      <c r="A19" s="105">
        <v>13</v>
      </c>
      <c r="B19" s="108" t="s">
        <v>19</v>
      </c>
      <c r="C19" s="107">
        <v>0.90283700440528636</v>
      </c>
      <c r="D19" s="107">
        <v>1.1274082805616739</v>
      </c>
      <c r="E19" s="107">
        <v>1.0486515818982778</v>
      </c>
      <c r="F19" s="107">
        <v>0.73064147315761963</v>
      </c>
      <c r="G19" s="60"/>
      <c r="H19" s="49"/>
    </row>
    <row r="20" spans="1:9" x14ac:dyDescent="0.2">
      <c r="A20" s="105">
        <v>14</v>
      </c>
      <c r="B20" s="108" t="s">
        <v>20</v>
      </c>
      <c r="C20" s="111">
        <v>14.15</v>
      </c>
      <c r="D20" s="111">
        <v>14.15</v>
      </c>
      <c r="E20" s="111">
        <v>14.15</v>
      </c>
      <c r="F20" s="111">
        <v>14.15</v>
      </c>
      <c r="G20" s="60"/>
    </row>
    <row r="21" spans="1:9" x14ac:dyDescent="0.2">
      <c r="A21" s="105">
        <v>15</v>
      </c>
      <c r="B21" s="108" t="s">
        <v>21</v>
      </c>
      <c r="C21" s="107">
        <v>12.775143612334801</v>
      </c>
      <c r="D21" s="107">
        <v>15.952827169947685</v>
      </c>
      <c r="E21" s="107">
        <v>14.838419883860631</v>
      </c>
      <c r="F21" s="107">
        <v>10.338576845180318</v>
      </c>
      <c r="G21" s="60"/>
    </row>
    <row r="22" spans="1:9" x14ac:dyDescent="0.2">
      <c r="A22" s="105">
        <v>16</v>
      </c>
      <c r="B22" s="108" t="s">
        <v>22</v>
      </c>
      <c r="C22" s="107">
        <v>2.5153699999999999</v>
      </c>
      <c r="D22" s="107">
        <v>2.11741</v>
      </c>
      <c r="E22" s="107">
        <v>1.63479</v>
      </c>
      <c r="F22" s="107">
        <v>1.4169499999999999</v>
      </c>
      <c r="G22" s="60"/>
    </row>
    <row r="23" spans="1:9" x14ac:dyDescent="0.2">
      <c r="A23" s="105">
        <v>17</v>
      </c>
      <c r="B23" s="108" t="s">
        <v>23</v>
      </c>
      <c r="C23" s="107">
        <v>0.43393999999999999</v>
      </c>
      <c r="D23" s="107">
        <v>6.4360000000000001E-2</v>
      </c>
      <c r="E23" s="107">
        <v>1.2100000000000002</v>
      </c>
      <c r="F23" s="107">
        <v>3.1241300000000001</v>
      </c>
      <c r="G23" s="60"/>
      <c r="H23" s="29"/>
    </row>
    <row r="24" spans="1:9" x14ac:dyDescent="0.2">
      <c r="A24" s="105">
        <v>18</v>
      </c>
      <c r="B24" s="108" t="s">
        <v>24</v>
      </c>
      <c r="C24" s="107">
        <v>0.15</v>
      </c>
      <c r="D24" s="107">
        <v>0.15</v>
      </c>
      <c r="E24" s="107">
        <v>0.15</v>
      </c>
      <c r="F24" s="107">
        <v>0</v>
      </c>
      <c r="G24" s="60"/>
      <c r="H24" s="29"/>
    </row>
    <row r="25" spans="1:9" x14ac:dyDescent="0.2">
      <c r="A25" s="105">
        <v>19</v>
      </c>
      <c r="B25" s="108" t="s">
        <v>25</v>
      </c>
      <c r="C25" s="107">
        <v>2.4706600000000001</v>
      </c>
      <c r="D25" s="107">
        <v>0.15125999999999995</v>
      </c>
      <c r="E25" s="107">
        <v>0.81415000000000004</v>
      </c>
      <c r="F25" s="107">
        <v>4.1238999999999999</v>
      </c>
      <c r="G25" s="28"/>
    </row>
    <row r="26" spans="1:9" x14ac:dyDescent="0.2">
      <c r="A26" s="105">
        <v>20</v>
      </c>
      <c r="B26" s="108" t="s">
        <v>26</v>
      </c>
      <c r="C26" s="107">
        <v>0.49536999999999998</v>
      </c>
      <c r="D26" s="107">
        <v>0.49536999999999998</v>
      </c>
      <c r="E26" s="107">
        <v>0</v>
      </c>
      <c r="F26" s="107">
        <v>0</v>
      </c>
      <c r="G26" s="28"/>
      <c r="H26" s="49"/>
    </row>
    <row r="27" spans="1:9" x14ac:dyDescent="0.2">
      <c r="A27" s="105">
        <v>21</v>
      </c>
      <c r="B27" s="108" t="s">
        <v>27</v>
      </c>
      <c r="C27" s="107">
        <v>7.0000000000000007E-2</v>
      </c>
      <c r="D27" s="107">
        <v>7.0000000000000007E-2</v>
      </c>
      <c r="E27" s="107">
        <v>7.0000000000000007E-2</v>
      </c>
      <c r="F27" s="112">
        <v>0</v>
      </c>
      <c r="G27" s="60"/>
      <c r="H27" s="49"/>
    </row>
    <row r="28" spans="1:9" x14ac:dyDescent="0.2">
      <c r="A28" s="105">
        <v>22</v>
      </c>
      <c r="B28" s="108" t="s">
        <v>28</v>
      </c>
      <c r="C28" s="107">
        <v>9.3200000000000005E-2</v>
      </c>
      <c r="D28" s="107">
        <v>0</v>
      </c>
      <c r="E28" s="107">
        <v>0.2852642136247</v>
      </c>
      <c r="F28" s="107">
        <v>0</v>
      </c>
      <c r="G28" s="60"/>
      <c r="H28" s="61"/>
      <c r="I28" s="62"/>
    </row>
    <row r="29" spans="1:9" x14ac:dyDescent="0.2">
      <c r="A29" s="113">
        <v>23</v>
      </c>
      <c r="B29" s="108" t="s">
        <v>29</v>
      </c>
      <c r="C29" s="107">
        <v>0</v>
      </c>
      <c r="D29" s="107">
        <v>0</v>
      </c>
      <c r="E29" s="107">
        <v>0</v>
      </c>
      <c r="F29" s="107">
        <v>0</v>
      </c>
      <c r="G29" s="28"/>
      <c r="H29" s="64"/>
    </row>
    <row r="30" spans="1:9" s="98" customFormat="1" x14ac:dyDescent="0.2">
      <c r="A30" s="114">
        <v>24</v>
      </c>
      <c r="B30" s="115" t="s">
        <v>51</v>
      </c>
      <c r="C30" s="116">
        <v>19.003683612334804</v>
      </c>
      <c r="D30" s="116">
        <v>19.001227169947686</v>
      </c>
      <c r="E30" s="116">
        <v>19.002624097485331</v>
      </c>
      <c r="F30" s="116">
        <v>19.003556845180299</v>
      </c>
      <c r="G30" s="95"/>
      <c r="I30" s="97"/>
    </row>
    <row r="31" spans="1:9" x14ac:dyDescent="0.2">
      <c r="A31" s="117"/>
      <c r="B31" s="118"/>
      <c r="C31" s="118"/>
      <c r="D31" s="118"/>
      <c r="E31" s="118"/>
      <c r="F31" s="118"/>
    </row>
    <row r="32" spans="1:9" ht="16.5" x14ac:dyDescent="0.2">
      <c r="A32" s="172" t="s">
        <v>48</v>
      </c>
      <c r="B32" s="172"/>
      <c r="C32" s="172"/>
      <c r="D32" s="172"/>
      <c r="E32" s="172"/>
      <c r="F32" s="172"/>
    </row>
    <row r="33" spans="1:6" x14ac:dyDescent="0.2">
      <c r="A33" s="172" t="s">
        <v>40</v>
      </c>
      <c r="B33" s="172"/>
      <c r="C33" s="172"/>
      <c r="D33" s="172"/>
      <c r="E33" s="172"/>
      <c r="F33" s="172"/>
    </row>
    <row r="34" spans="1:6" x14ac:dyDescent="0.2">
      <c r="A34" s="68"/>
      <c r="B34" s="68"/>
      <c r="C34" s="68"/>
      <c r="D34" s="68"/>
      <c r="E34" s="68"/>
      <c r="F34" s="68"/>
    </row>
    <row r="35" spans="1:6" x14ac:dyDescent="0.2">
      <c r="C35" s="119">
        <f>(C10/C18)*C20</f>
        <v>0.58598869309838475</v>
      </c>
      <c r="D35" s="119">
        <f t="shared" ref="D35:F35" si="0">(D10/D18)*D20</f>
        <v>0.73388271785517623</v>
      </c>
      <c r="E35" s="119">
        <f t="shared" si="0"/>
        <v>0.68229973968762525</v>
      </c>
      <c r="F35" s="119">
        <f t="shared" si="0"/>
        <v>0.46617055084745768</v>
      </c>
    </row>
    <row r="36" spans="1:6" x14ac:dyDescent="0.2">
      <c r="C36" s="49"/>
    </row>
    <row r="37" spans="1:6" x14ac:dyDescent="0.2">
      <c r="C37" s="49"/>
    </row>
    <row r="38" spans="1:6" x14ac:dyDescent="0.2">
      <c r="C38" s="49"/>
    </row>
  </sheetData>
  <mergeCells count="3">
    <mergeCell ref="B5:F5"/>
    <mergeCell ref="A32:F32"/>
    <mergeCell ref="A33:F33"/>
  </mergeCells>
  <pageMargins left="0.5" right="0.3" top="0" bottom="0" header="0.3" footer="0.3"/>
  <pageSetup paperSize="9" scale="10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5AF1-3F81-4ED7-86F2-376EA1E173EA}">
  <dimension ref="A1:I38"/>
  <sheetViews>
    <sheetView topLeftCell="A11" zoomScale="110" zoomScaleNormal="110" workbookViewId="0">
      <selection activeCell="C35" sqref="C35:F35"/>
    </sheetView>
  </sheetViews>
  <sheetFormatPr defaultRowHeight="15" x14ac:dyDescent="0.2"/>
  <cols>
    <col min="1" max="1" width="8.875" style="1"/>
    <col min="2" max="2" width="55.69140625" customWidth="1"/>
    <col min="3" max="3" width="14.9296875" customWidth="1"/>
    <col min="4" max="4" width="15.6015625" customWidth="1"/>
    <col min="5" max="5" width="14.66015625" customWidth="1"/>
    <col min="6" max="6" width="16.140625" customWidth="1"/>
    <col min="7" max="7" width="22.05859375" customWidth="1"/>
    <col min="8" max="8" width="12.64453125" bestFit="1" customWidth="1"/>
    <col min="9" max="9" width="9.28125" bestFit="1" customWidth="1"/>
    <col min="10" max="10" width="10.4921875" customWidth="1"/>
  </cols>
  <sheetData>
    <row r="1" spans="1:8" x14ac:dyDescent="0.2">
      <c r="E1" s="49"/>
      <c r="F1" s="99"/>
      <c r="H1" s="49"/>
    </row>
    <row r="2" spans="1:8" ht="20.45" customHeight="1" x14ac:dyDescent="0.2">
      <c r="E2" s="49"/>
      <c r="F2" s="100"/>
      <c r="H2" s="49"/>
    </row>
    <row r="3" spans="1:8" ht="15.6" customHeight="1" x14ac:dyDescent="0.2">
      <c r="E3" s="49"/>
      <c r="F3" s="101"/>
      <c r="H3" s="49"/>
    </row>
    <row r="4" spans="1:8" ht="15.6" customHeight="1" x14ac:dyDescent="0.2">
      <c r="E4" s="49"/>
      <c r="F4" s="101"/>
      <c r="H4" s="49"/>
    </row>
    <row r="5" spans="1:8" ht="15.75" x14ac:dyDescent="0.2">
      <c r="A5" s="75"/>
      <c r="B5" s="173" t="s">
        <v>61</v>
      </c>
      <c r="C5" s="173"/>
      <c r="D5" s="173"/>
      <c r="E5" s="173"/>
      <c r="F5" s="173"/>
      <c r="G5" s="54"/>
      <c r="H5" s="7"/>
    </row>
    <row r="6" spans="1:8" x14ac:dyDescent="0.2">
      <c r="A6" s="76" t="s">
        <v>1</v>
      </c>
      <c r="B6" s="77" t="s">
        <v>2</v>
      </c>
      <c r="C6" s="76" t="s">
        <v>3</v>
      </c>
      <c r="D6" s="76" t="s">
        <v>4</v>
      </c>
      <c r="E6" s="76" t="s">
        <v>5</v>
      </c>
      <c r="F6" s="76" t="s">
        <v>6</v>
      </c>
      <c r="H6" s="7"/>
    </row>
    <row r="7" spans="1:8" x14ac:dyDescent="0.2">
      <c r="A7" s="102">
        <v>1</v>
      </c>
      <c r="B7" s="103" t="s">
        <v>62</v>
      </c>
      <c r="C7" s="104">
        <v>931.88</v>
      </c>
      <c r="D7" s="104">
        <v>935.63</v>
      </c>
      <c r="E7" s="104">
        <v>1060.03</v>
      </c>
      <c r="F7" s="104">
        <v>603.44000000000005</v>
      </c>
      <c r="H7" s="49"/>
    </row>
    <row r="8" spans="1:8" x14ac:dyDescent="0.2">
      <c r="A8" s="105">
        <v>2</v>
      </c>
      <c r="B8" s="106" t="s">
        <v>8</v>
      </c>
      <c r="C8" s="107">
        <v>86.5</v>
      </c>
      <c r="D8" s="107">
        <v>148</v>
      </c>
      <c r="E8" s="107">
        <v>69</v>
      </c>
      <c r="F8" s="107">
        <v>103.5</v>
      </c>
      <c r="G8" s="58"/>
      <c r="H8" s="49"/>
    </row>
    <row r="9" spans="1:8" x14ac:dyDescent="0.2">
      <c r="A9" s="105">
        <v>3</v>
      </c>
      <c r="B9" s="108" t="s">
        <v>9</v>
      </c>
      <c r="C9" s="107">
        <f>C7+C8</f>
        <v>1018.38</v>
      </c>
      <c r="D9" s="107">
        <f t="shared" ref="D9:F9" si="0">D7+D8</f>
        <v>1083.6300000000001</v>
      </c>
      <c r="E9" s="107">
        <f t="shared" si="0"/>
        <v>1129.03</v>
      </c>
      <c r="F9" s="107">
        <f t="shared" si="0"/>
        <v>706.94</v>
      </c>
      <c r="G9" s="58"/>
      <c r="H9" s="49"/>
    </row>
    <row r="10" spans="1:8" x14ac:dyDescent="0.2">
      <c r="A10" s="105">
        <v>4</v>
      </c>
      <c r="B10" s="108" t="s">
        <v>10</v>
      </c>
      <c r="C10" s="107">
        <f>5/100*C9</f>
        <v>50.919000000000004</v>
      </c>
      <c r="D10" s="107">
        <f t="shared" ref="D10:F10" si="1">5/100*D9</f>
        <v>54.181500000000007</v>
      </c>
      <c r="E10" s="107">
        <f t="shared" si="1"/>
        <v>56.451500000000003</v>
      </c>
      <c r="F10" s="107">
        <f t="shared" si="1"/>
        <v>35.347000000000001</v>
      </c>
      <c r="G10" s="58"/>
      <c r="H10" s="49"/>
    </row>
    <row r="11" spans="1:8" x14ac:dyDescent="0.2">
      <c r="A11" s="105">
        <v>5</v>
      </c>
      <c r="B11" s="108" t="s">
        <v>11</v>
      </c>
      <c r="C11" s="107">
        <v>4.7</v>
      </c>
      <c r="D11" s="107">
        <v>4.7</v>
      </c>
      <c r="E11" s="107">
        <v>4.7</v>
      </c>
      <c r="F11" s="107">
        <v>4.7</v>
      </c>
      <c r="G11" s="58"/>
      <c r="H11" s="7"/>
    </row>
    <row r="12" spans="1:8" x14ac:dyDescent="0.2">
      <c r="A12" s="109">
        <v>6</v>
      </c>
      <c r="B12" s="110" t="s">
        <v>12</v>
      </c>
      <c r="C12" s="107">
        <v>3</v>
      </c>
      <c r="D12" s="107">
        <v>3</v>
      </c>
      <c r="E12" s="107">
        <v>3</v>
      </c>
      <c r="F12" s="107">
        <v>2</v>
      </c>
      <c r="G12" s="60"/>
      <c r="H12" s="49"/>
    </row>
    <row r="13" spans="1:8" x14ac:dyDescent="0.2">
      <c r="A13" s="109">
        <v>7</v>
      </c>
      <c r="B13" s="110" t="s">
        <v>13</v>
      </c>
      <c r="C13" s="107">
        <v>20</v>
      </c>
      <c r="D13" s="107">
        <v>20</v>
      </c>
      <c r="E13" s="107">
        <v>20</v>
      </c>
      <c r="F13" s="107">
        <v>20</v>
      </c>
      <c r="G13" s="60"/>
    </row>
    <row r="14" spans="1:8" x14ac:dyDescent="0.2">
      <c r="A14" s="105">
        <v>8</v>
      </c>
      <c r="B14" s="108" t="s">
        <v>14</v>
      </c>
      <c r="C14" s="107">
        <v>2</v>
      </c>
      <c r="D14" s="107">
        <v>2</v>
      </c>
      <c r="E14" s="107">
        <v>2</v>
      </c>
      <c r="F14" s="107">
        <v>2</v>
      </c>
      <c r="G14" s="60"/>
    </row>
    <row r="15" spans="1:8" x14ac:dyDescent="0.2">
      <c r="A15" s="105">
        <v>9</v>
      </c>
      <c r="B15" s="108" t="s">
        <v>15</v>
      </c>
      <c r="C15" s="107">
        <v>2</v>
      </c>
      <c r="D15" s="107">
        <v>2</v>
      </c>
      <c r="E15" s="107">
        <v>2</v>
      </c>
      <c r="F15" s="107">
        <v>2</v>
      </c>
      <c r="G15" s="60"/>
    </row>
    <row r="16" spans="1:8" x14ac:dyDescent="0.2">
      <c r="A16" s="105">
        <v>10</v>
      </c>
      <c r="B16" s="108" t="s">
        <v>16</v>
      </c>
      <c r="C16" s="107">
        <v>13.48</v>
      </c>
      <c r="D16" s="107">
        <v>12.76</v>
      </c>
      <c r="E16" s="107">
        <v>13.309999999999999</v>
      </c>
      <c r="F16" s="107">
        <v>10.87</v>
      </c>
      <c r="G16" s="60"/>
      <c r="H16" s="49"/>
    </row>
    <row r="17" spans="1:9" x14ac:dyDescent="0.2">
      <c r="A17" s="105">
        <v>11</v>
      </c>
      <c r="B17" s="108" t="s">
        <v>17</v>
      </c>
      <c r="C17" s="107">
        <f>SUM(C9:C16)</f>
        <v>1114.479</v>
      </c>
      <c r="D17" s="107">
        <f t="shared" ref="D17:F17" si="2">SUM(D9:D16)</f>
        <v>1182.2715000000001</v>
      </c>
      <c r="E17" s="107">
        <f t="shared" si="2"/>
        <v>1230.4914999999999</v>
      </c>
      <c r="F17" s="107">
        <f t="shared" si="2"/>
        <v>783.85700000000008</v>
      </c>
      <c r="G17" s="60"/>
      <c r="H17" s="49"/>
    </row>
    <row r="18" spans="1:9" x14ac:dyDescent="0.2">
      <c r="A18" s="105">
        <v>12</v>
      </c>
      <c r="B18" s="108" t="s">
        <v>18</v>
      </c>
      <c r="C18" s="107">
        <v>1362</v>
      </c>
      <c r="D18" s="107">
        <v>1162.24</v>
      </c>
      <c r="E18" s="107">
        <v>1248.5</v>
      </c>
      <c r="F18" s="107">
        <v>1071.44</v>
      </c>
      <c r="G18" s="60"/>
      <c r="H18" s="49"/>
    </row>
    <row r="19" spans="1:9" x14ac:dyDescent="0.2">
      <c r="A19" s="105">
        <v>13</v>
      </c>
      <c r="B19" s="108" t="s">
        <v>19</v>
      </c>
      <c r="C19" s="107">
        <f>C17/C18</f>
        <v>0.81826651982378862</v>
      </c>
      <c r="D19" s="107">
        <f t="shared" ref="D19:F19" si="3">D17/D18</f>
        <v>1.0172352526156387</v>
      </c>
      <c r="E19" s="107">
        <f t="shared" si="3"/>
        <v>0.98557589106928301</v>
      </c>
      <c r="F19" s="107">
        <f t="shared" si="3"/>
        <v>0.73159206301799451</v>
      </c>
      <c r="G19" s="60"/>
      <c r="H19" s="49"/>
    </row>
    <row r="20" spans="1:9" x14ac:dyDescent="0.2">
      <c r="A20" s="105">
        <v>14</v>
      </c>
      <c r="B20" s="108" t="s">
        <v>63</v>
      </c>
      <c r="C20" s="111">
        <v>14.15</v>
      </c>
      <c r="D20" s="111">
        <v>14.15</v>
      </c>
      <c r="E20" s="111">
        <v>14.15</v>
      </c>
      <c r="F20" s="111">
        <v>14.15</v>
      </c>
      <c r="G20" s="60"/>
    </row>
    <row r="21" spans="1:9" x14ac:dyDescent="0.2">
      <c r="A21" s="105">
        <v>15</v>
      </c>
      <c r="B21" s="108" t="s">
        <v>21</v>
      </c>
      <c r="C21" s="107">
        <f>C19*C20</f>
        <v>11.57847125550661</v>
      </c>
      <c r="D21" s="107">
        <f t="shared" ref="D21:F21" si="4">D19*D20</f>
        <v>14.393878824511289</v>
      </c>
      <c r="E21" s="107">
        <f t="shared" si="4"/>
        <v>13.945898858630354</v>
      </c>
      <c r="F21" s="107">
        <f t="shared" si="4"/>
        <v>10.352027691704622</v>
      </c>
      <c r="G21" s="60"/>
    </row>
    <row r="22" spans="1:9" x14ac:dyDescent="0.2">
      <c r="A22" s="105">
        <v>16</v>
      </c>
      <c r="B22" s="108" t="s">
        <v>22</v>
      </c>
      <c r="C22" s="107">
        <v>2.5153699999999999</v>
      </c>
      <c r="D22" s="107">
        <v>2.5153699999999999</v>
      </c>
      <c r="E22" s="107">
        <v>1.63479</v>
      </c>
      <c r="F22" s="107">
        <v>1.4169499999999999</v>
      </c>
      <c r="G22" s="60"/>
    </row>
    <row r="23" spans="1:9" x14ac:dyDescent="0.2">
      <c r="A23" s="105">
        <v>17</v>
      </c>
      <c r="B23" s="108" t="s">
        <v>23</v>
      </c>
      <c r="C23" s="107">
        <v>0.43393999999999999</v>
      </c>
      <c r="D23" s="107">
        <v>6.4360000000000001E-2</v>
      </c>
      <c r="E23" s="107">
        <f>1.1</f>
        <v>1.1000000000000001</v>
      </c>
      <c r="F23" s="107">
        <f>3.12413-1.08+0.06</f>
        <v>2.1041300000000001</v>
      </c>
      <c r="G23" s="60"/>
      <c r="H23" s="29"/>
    </row>
    <row r="24" spans="1:9" x14ac:dyDescent="0.2">
      <c r="A24" s="105">
        <v>18</v>
      </c>
      <c r="B24" s="108" t="s">
        <v>24</v>
      </c>
      <c r="C24" s="107">
        <v>0.15</v>
      </c>
      <c r="D24" s="107">
        <v>0.15</v>
      </c>
      <c r="E24" s="107">
        <v>0.15</v>
      </c>
      <c r="F24" s="107">
        <v>0</v>
      </c>
      <c r="G24" s="60"/>
      <c r="H24" s="29"/>
    </row>
    <row r="25" spans="1:9" x14ac:dyDescent="0.2">
      <c r="A25" s="105">
        <v>19</v>
      </c>
      <c r="B25" s="108" t="s">
        <v>25</v>
      </c>
      <c r="C25" s="107">
        <v>2.6669999999999998</v>
      </c>
      <c r="D25" s="107">
        <v>0.31</v>
      </c>
      <c r="E25" s="107">
        <v>0.81415000000000004</v>
      </c>
      <c r="F25" s="107">
        <v>4.1238999999999999</v>
      </c>
      <c r="G25" s="28"/>
    </row>
    <row r="26" spans="1:9" x14ac:dyDescent="0.2">
      <c r="A26" s="105">
        <v>20</v>
      </c>
      <c r="B26" s="108" t="s">
        <v>26</v>
      </c>
      <c r="C26" s="107">
        <v>0.49536999999999998</v>
      </c>
      <c r="D26" s="107">
        <v>0.49536999999999998</v>
      </c>
      <c r="E26" s="107">
        <v>0</v>
      </c>
      <c r="F26" s="107">
        <v>0</v>
      </c>
      <c r="G26" s="28"/>
      <c r="H26" s="49"/>
    </row>
    <row r="27" spans="1:9" x14ac:dyDescent="0.2">
      <c r="A27" s="105">
        <v>21</v>
      </c>
      <c r="B27" s="108" t="s">
        <v>27</v>
      </c>
      <c r="C27" s="107">
        <v>7.0000000000000007E-2</v>
      </c>
      <c r="D27" s="107">
        <v>7.0000000000000007E-2</v>
      </c>
      <c r="E27" s="107">
        <v>7.0000000000000007E-2</v>
      </c>
      <c r="F27" s="112">
        <v>0</v>
      </c>
      <c r="G27" s="60"/>
      <c r="H27" s="49"/>
    </row>
    <row r="28" spans="1:9" x14ac:dyDescent="0.2">
      <c r="A28" s="105">
        <v>22</v>
      </c>
      <c r="B28" s="108" t="s">
        <v>28</v>
      </c>
      <c r="C28" s="107">
        <v>9.3200000000000005E-2</v>
      </c>
      <c r="D28" s="107">
        <v>0</v>
      </c>
      <c r="E28" s="107">
        <v>0.2852642136247</v>
      </c>
      <c r="F28" s="107">
        <v>0</v>
      </c>
      <c r="G28" s="60"/>
      <c r="H28" s="61"/>
      <c r="I28" s="62"/>
    </row>
    <row r="29" spans="1:9" x14ac:dyDescent="0.2">
      <c r="A29" s="113">
        <v>23</v>
      </c>
      <c r="B29" s="108" t="s">
        <v>29</v>
      </c>
      <c r="C29" s="107">
        <v>0</v>
      </c>
      <c r="D29" s="107">
        <v>0</v>
      </c>
      <c r="E29" s="107">
        <v>0</v>
      </c>
      <c r="F29" s="107">
        <v>0</v>
      </c>
      <c r="G29" s="28"/>
      <c r="H29" s="64"/>
    </row>
    <row r="30" spans="1:9" s="98" customFormat="1" x14ac:dyDescent="0.2">
      <c r="A30" s="114">
        <v>24</v>
      </c>
      <c r="B30" s="115" t="s">
        <v>51</v>
      </c>
      <c r="C30" s="116">
        <f>SUM(C21:C29)</f>
        <v>18.003351255506612</v>
      </c>
      <c r="D30" s="116">
        <f t="shared" ref="D30:F30" si="5">SUM(D21:D29)</f>
        <v>17.998978824511287</v>
      </c>
      <c r="E30" s="116">
        <f t="shared" si="5"/>
        <v>18.000103072255055</v>
      </c>
      <c r="F30" s="116">
        <f t="shared" si="5"/>
        <v>17.997007691704621</v>
      </c>
      <c r="G30" s="95"/>
      <c r="I30" s="97"/>
    </row>
    <row r="31" spans="1:9" x14ac:dyDescent="0.2">
      <c r="A31" s="117"/>
      <c r="B31" s="118"/>
      <c r="C31" s="118"/>
      <c r="D31" s="118"/>
      <c r="E31" s="118"/>
      <c r="F31" s="118"/>
    </row>
    <row r="32" spans="1:9" ht="16.5" x14ac:dyDescent="0.2">
      <c r="A32" s="172" t="s">
        <v>48</v>
      </c>
      <c r="B32" s="172"/>
      <c r="C32" s="172"/>
      <c r="D32" s="172"/>
      <c r="E32" s="172"/>
      <c r="F32" s="172"/>
    </row>
    <row r="33" spans="1:6" x14ac:dyDescent="0.2">
      <c r="A33" s="172" t="s">
        <v>40</v>
      </c>
      <c r="B33" s="172"/>
      <c r="C33" s="172"/>
      <c r="D33" s="172"/>
      <c r="E33" s="172"/>
      <c r="F33" s="172"/>
    </row>
    <row r="34" spans="1:6" x14ac:dyDescent="0.2">
      <c r="A34" s="68"/>
      <c r="B34" s="68"/>
      <c r="C34" s="68"/>
      <c r="D34" s="68"/>
      <c r="E34" s="68"/>
      <c r="F34" s="68"/>
    </row>
    <row r="35" spans="1:6" x14ac:dyDescent="0.2">
      <c r="C35" s="119">
        <f>(C10/C18)*C20</f>
        <v>0.52900429515418512</v>
      </c>
      <c r="D35" s="119">
        <f t="shared" ref="D35:F35" si="6">(D10/D18)*D20</f>
        <v>0.65964708235820491</v>
      </c>
      <c r="E35" s="119">
        <f t="shared" si="6"/>
        <v>0.63979873848618352</v>
      </c>
      <c r="F35" s="119">
        <f t="shared" si="6"/>
        <v>0.46681106734861499</v>
      </c>
    </row>
    <row r="36" spans="1:6" x14ac:dyDescent="0.2">
      <c r="C36" s="49"/>
    </row>
    <row r="37" spans="1:6" x14ac:dyDescent="0.2">
      <c r="C37" s="49"/>
    </row>
    <row r="38" spans="1:6" x14ac:dyDescent="0.2">
      <c r="C38" s="49"/>
    </row>
  </sheetData>
  <mergeCells count="3">
    <mergeCell ref="B5:F5"/>
    <mergeCell ref="A32:F32"/>
    <mergeCell ref="A33:F33"/>
  </mergeCells>
  <pageMargins left="0.5" right="0.3" top="0" bottom="0" header="0.3" footer="0.3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JAN. 2022 </vt:lpstr>
      <vt:lpstr>1ST MAR. 2022</vt:lpstr>
      <vt:lpstr>16TH MAR. 2022</vt:lpstr>
      <vt:lpstr>9TH JUN. 22 </vt:lpstr>
      <vt:lpstr>30TH JUN. 2022</vt:lpstr>
      <vt:lpstr>18TH JUL. 2022 </vt:lpstr>
      <vt:lpstr>18TH JUL-COMM</vt:lpstr>
      <vt:lpstr>29TH JUL. 22</vt:lpstr>
      <vt:lpstr>10TH AUG. 22</vt:lpstr>
      <vt:lpstr>25TH AUG. 22 </vt:lpstr>
      <vt:lpstr>8TH SEP. 22</vt:lpstr>
      <vt:lpstr>6TH OCT. 2022</vt:lpstr>
      <vt:lpstr>6TH OCT. 2022 - (COM)</vt:lpstr>
      <vt:lpstr>19TH OCT. 2022 (RET)</vt:lpstr>
      <vt:lpstr>19TH OCT. 2022-COMM</vt:lpstr>
      <vt:lpstr>3RD NOV. 2022-RET</vt:lpstr>
      <vt:lpstr>3RD NOV. 2022-COMM</vt:lpstr>
      <vt:lpstr>16TH NOV. 2022-RET </vt:lpstr>
      <vt:lpstr>16TH NOV. 2022-COMM</vt:lpstr>
      <vt:lpstr>2ND DEC. 2022-RET</vt:lpstr>
      <vt:lpstr>2ND DEC. 2022-COMM</vt:lpstr>
      <vt:lpstr>Sheet1</vt:lpstr>
      <vt:lpstr>10TH AUG. 22!Print_Area</vt:lpstr>
      <vt:lpstr>16TH MAR. 2022!Print_Area</vt:lpstr>
      <vt:lpstr>16TH NOV. 2022-COMM!Print_Area</vt:lpstr>
      <vt:lpstr>16TH NOV. 2022-RET !Print_Area</vt:lpstr>
      <vt:lpstr>18TH JUL. 2022 !Print_Area</vt:lpstr>
      <vt:lpstr>18TH JUL-COMM!Print_Area</vt:lpstr>
      <vt:lpstr>19TH OCT. 2022 (RET)!Print_Area</vt:lpstr>
      <vt:lpstr>19TH OCT. 2022-COMM!Print_Area</vt:lpstr>
      <vt:lpstr>1ST MAR. 2022!Print_Area</vt:lpstr>
      <vt:lpstr>25TH AUG. 22 !Print_Area</vt:lpstr>
      <vt:lpstr>29TH JUL. 22!Print_Area</vt:lpstr>
      <vt:lpstr>2ND DEC. 2022-COMM!Print_Area</vt:lpstr>
      <vt:lpstr>2ND DEC. 2022-RET!Print_Area</vt:lpstr>
      <vt:lpstr>30TH JUN. 2022!Print_Area</vt:lpstr>
      <vt:lpstr>3RD NOV. 2022-COMM!Print_Area</vt:lpstr>
      <vt:lpstr>3RD NOV. 2022-RET!Print_Area</vt:lpstr>
      <vt:lpstr>6TH OCT. 2022!Print_Area</vt:lpstr>
      <vt:lpstr>6TH OCT. 2022 - (COM)!Print_Area</vt:lpstr>
      <vt:lpstr>8TH SEP. 22!Print_Area</vt:lpstr>
      <vt:lpstr>9TH JUN. 22 !Print_Area</vt:lpstr>
      <vt:lpstr>JAN. 2022 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TUNTI SAMURA</dc:creator>
  <cp:lastModifiedBy>Petroleum Regulatory Agency</cp:lastModifiedBy>
  <dcterms:created xsi:type="dcterms:W3CDTF">2015-06-05T18:17:20Z</dcterms:created>
  <dcterms:modified xsi:type="dcterms:W3CDTF">2023-09-29T17:12:55Z</dcterms:modified>
</cp:coreProperties>
</file>